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Sport\ОТЧЕТЫ\2024\экономика\отчет по программе\1 кв 2024\"/>
    </mc:Choice>
  </mc:AlternateContent>
  <bookViews>
    <workbookView xWindow="0" yWindow="0" windowWidth="14235" windowHeight="10305"/>
  </bookViews>
  <sheets>
    <sheet name="31.03.2024" sheetId="3" r:id="rId1"/>
    <sheet name="31.12.2023" sheetId="2" state="hidden" r:id="rId2"/>
  </sheets>
  <definedNames>
    <definedName name="_xlnm.Print_Area" localSheetId="0">'31.03.2024'!$A$1:$Q$23</definedName>
    <definedName name="_xlnm.Print_Area" localSheetId="1">'31.12.2023'!$A$1:$R$35</definedName>
  </definedNames>
  <calcPr calcId="152511"/>
</workbook>
</file>

<file path=xl/calcChain.xml><?xml version="1.0" encoding="utf-8"?>
<calcChain xmlns="http://schemas.openxmlformats.org/spreadsheetml/2006/main">
  <c r="L13" i="3" l="1"/>
  <c r="V9" i="3" l="1"/>
  <c r="V7" i="3"/>
  <c r="V8" i="3"/>
  <c r="V10" i="3"/>
  <c r="V11" i="3"/>
  <c r="V13" i="3"/>
  <c r="V14" i="3"/>
  <c r="V15" i="3"/>
  <c r="V16" i="3"/>
  <c r="V17" i="3"/>
  <c r="V18" i="3"/>
  <c r="V19" i="3"/>
  <c r="V20" i="3"/>
  <c r="U9" i="3"/>
  <c r="S8" i="3" l="1"/>
  <c r="T8" i="3"/>
  <c r="U8" i="3"/>
  <c r="S9" i="3"/>
  <c r="T9" i="3"/>
  <c r="S10" i="3"/>
  <c r="T10" i="3"/>
  <c r="U10" i="3"/>
  <c r="S11" i="3"/>
  <c r="T11" i="3"/>
  <c r="U11" i="3"/>
  <c r="S13" i="3"/>
  <c r="T13" i="3"/>
  <c r="U13" i="3"/>
  <c r="S14" i="3"/>
  <c r="T14" i="3"/>
  <c r="U14" i="3"/>
  <c r="T15" i="3"/>
  <c r="U15" i="3"/>
  <c r="S16" i="3"/>
  <c r="T16" i="3"/>
  <c r="U16" i="3"/>
  <c r="S17" i="3"/>
  <c r="T17" i="3"/>
  <c r="U17" i="3"/>
  <c r="S18" i="3"/>
  <c r="T18" i="3"/>
  <c r="U18" i="3"/>
  <c r="R19" i="3"/>
  <c r="S19" i="3"/>
  <c r="T19" i="3"/>
  <c r="U19" i="3"/>
  <c r="S20" i="3"/>
  <c r="T20" i="3"/>
  <c r="U20" i="3"/>
  <c r="U7" i="3"/>
  <c r="S7" i="3"/>
  <c r="T7" i="3"/>
  <c r="M6" i="3" l="1"/>
  <c r="K6" i="3"/>
  <c r="J6" i="3"/>
  <c r="I6" i="3"/>
  <c r="H6" i="3"/>
  <c r="F6" i="3"/>
  <c r="E6" i="3"/>
  <c r="D6" i="3"/>
  <c r="C6" i="3"/>
  <c r="S6" i="3" l="1"/>
  <c r="G6" i="3"/>
  <c r="B6" i="3"/>
  <c r="K12" i="3" l="1"/>
  <c r="K5" i="3" s="1"/>
  <c r="J12" i="3"/>
  <c r="J5" i="3" s="1"/>
  <c r="I12" i="3"/>
  <c r="I5" i="3" s="1"/>
  <c r="H12" i="3"/>
  <c r="F12" i="3"/>
  <c r="F5" i="3" s="1"/>
  <c r="E12" i="3"/>
  <c r="E5" i="3" s="1"/>
  <c r="D12" i="3"/>
  <c r="D5" i="3" s="1"/>
  <c r="C12" i="3"/>
  <c r="C5" i="3" s="1"/>
  <c r="G20" i="3"/>
  <c r="R20" i="3" s="1"/>
  <c r="B20" i="3"/>
  <c r="G18" i="3"/>
  <c r="B18" i="3"/>
  <c r="G17" i="3"/>
  <c r="B17" i="3"/>
  <c r="L16" i="3"/>
  <c r="R16" i="3" s="1"/>
  <c r="G16" i="3"/>
  <c r="B16" i="3"/>
  <c r="P12" i="3"/>
  <c r="G15" i="3"/>
  <c r="B15" i="3"/>
  <c r="L14" i="3"/>
  <c r="R14" i="3" s="1"/>
  <c r="G14" i="3"/>
  <c r="B14" i="3"/>
  <c r="M12" i="3"/>
  <c r="G13" i="3"/>
  <c r="R13" i="3" s="1"/>
  <c r="B13" i="3"/>
  <c r="N6" i="3"/>
  <c r="T6" i="3" s="1"/>
  <c r="G11" i="3"/>
  <c r="B11" i="3"/>
  <c r="G10" i="3"/>
  <c r="B10" i="3"/>
  <c r="P6" i="3"/>
  <c r="V6" i="3" s="1"/>
  <c r="G9" i="3"/>
  <c r="B9" i="3"/>
  <c r="G8" i="3"/>
  <c r="B8" i="3"/>
  <c r="G7" i="3"/>
  <c r="B7" i="3"/>
  <c r="V12" i="3" l="1"/>
  <c r="M5" i="3"/>
  <c r="S12" i="3"/>
  <c r="H5" i="3"/>
  <c r="G12" i="3"/>
  <c r="P5" i="3"/>
  <c r="V5" i="3" s="1"/>
  <c r="B5" i="3"/>
  <c r="G5" i="3"/>
  <c r="O6" i="3"/>
  <c r="N12" i="3"/>
  <c r="T12" i="3" s="1"/>
  <c r="O12" i="3"/>
  <c r="U12" i="3" s="1"/>
  <c r="L10" i="3"/>
  <c r="R10" i="3" s="1"/>
  <c r="B12" i="3"/>
  <c r="L18" i="3"/>
  <c r="R18" i="3" s="1"/>
  <c r="L11" i="3"/>
  <c r="R11" i="3" s="1"/>
  <c r="L8" i="3"/>
  <c r="R8" i="3" s="1"/>
  <c r="L9" i="3"/>
  <c r="R9" i="3" s="1"/>
  <c r="L7" i="3"/>
  <c r="R7" i="3" s="1"/>
  <c r="L15" i="3"/>
  <c r="R15" i="3" s="1"/>
  <c r="L17" i="3"/>
  <c r="R17" i="3" s="1"/>
  <c r="Q19" i="2"/>
  <c r="L6" i="3" l="1"/>
  <c r="R6" i="3" s="1"/>
  <c r="W6" i="3"/>
  <c r="U6" i="3"/>
  <c r="S5" i="3"/>
  <c r="L12" i="3"/>
  <c r="R12" i="3" s="1"/>
  <c r="O5" i="3"/>
  <c r="U5" i="3" s="1"/>
  <c r="N5" i="3"/>
  <c r="T5" i="3" s="1"/>
  <c r="G29" i="3"/>
  <c r="H21" i="3"/>
  <c r="Q10" i="2"/>
  <c r="L5" i="3" l="1"/>
  <c r="R5" i="3" s="1"/>
  <c r="N21" i="3"/>
  <c r="O22" i="3" s="1"/>
  <c r="P10" i="2"/>
  <c r="P12" i="2"/>
  <c r="L29" i="3" l="1"/>
  <c r="L32" i="3" s="1"/>
  <c r="P19" i="2"/>
  <c r="P23" i="2" l="1"/>
  <c r="O23" i="2"/>
  <c r="P21" i="2"/>
  <c r="O21" i="2"/>
  <c r="P20" i="2"/>
  <c r="P18" i="2"/>
  <c r="P17" i="2"/>
  <c r="O12" i="2"/>
  <c r="P11" i="2"/>
  <c r="P9" i="2"/>
  <c r="P8" i="2"/>
  <c r="P7" i="2"/>
  <c r="AD10" i="2" l="1"/>
  <c r="AC10" i="2"/>
  <c r="O16" i="2" l="1"/>
  <c r="P16" i="2"/>
  <c r="N16" i="2"/>
  <c r="H23" i="2" l="1"/>
  <c r="H12" i="2" l="1"/>
  <c r="C12" i="2"/>
  <c r="H8" i="2"/>
  <c r="Q30" i="2" l="1"/>
  <c r="P30" i="2"/>
  <c r="G24" i="2" l="1"/>
  <c r="Q24" i="2"/>
  <c r="U24" i="2" s="1"/>
  <c r="P13" i="2"/>
  <c r="Q13" i="2"/>
  <c r="J24" i="2"/>
  <c r="H10" i="2"/>
  <c r="H11" i="2"/>
  <c r="P24" i="2"/>
  <c r="O24" i="2"/>
  <c r="K13" i="2"/>
  <c r="K24" i="2"/>
  <c r="H29" i="2"/>
  <c r="M7" i="2"/>
  <c r="F24" i="2"/>
  <c r="F13" i="2"/>
  <c r="C10" i="2"/>
  <c r="M8" i="2"/>
  <c r="AB8" i="2" s="1"/>
  <c r="AB22" i="2"/>
  <c r="H19" i="2"/>
  <c r="M30" i="2"/>
  <c r="M29" i="2"/>
  <c r="I13" i="2"/>
  <c r="C30" i="2"/>
  <c r="E24" i="2"/>
  <c r="H17" i="2"/>
  <c r="H18" i="2"/>
  <c r="M21" i="2"/>
  <c r="D24" i="2"/>
  <c r="I24" i="2"/>
  <c r="L24" i="2"/>
  <c r="N24" i="2"/>
  <c r="H21" i="2"/>
  <c r="M23" i="2"/>
  <c r="C22" i="2"/>
  <c r="AC22" i="2" s="1"/>
  <c r="C23" i="2"/>
  <c r="M12" i="2"/>
  <c r="AB12" i="2" s="1"/>
  <c r="M17" i="2"/>
  <c r="H20" i="2"/>
  <c r="H16" i="2"/>
  <c r="H26" i="2"/>
  <c r="E13" i="2"/>
  <c r="C29" i="2"/>
  <c r="C26" i="2"/>
  <c r="C17" i="2"/>
  <c r="C16" i="2"/>
  <c r="M10" i="2"/>
  <c r="C8" i="2"/>
  <c r="M19" i="2"/>
  <c r="O13" i="2"/>
  <c r="C11" i="2"/>
  <c r="M18" i="2"/>
  <c r="M20" i="2"/>
  <c r="M16" i="2"/>
  <c r="D13" i="2"/>
  <c r="G13" i="2"/>
  <c r="G31" i="2" s="1"/>
  <c r="C21" i="2"/>
  <c r="C19" i="2"/>
  <c r="Z21" i="2"/>
  <c r="Z20" i="2"/>
  <c r="U19" i="2"/>
  <c r="T19" i="2"/>
  <c r="S19" i="2"/>
  <c r="S10" i="2"/>
  <c r="T10" i="2"/>
  <c r="U10" i="2"/>
  <c r="U20" i="2"/>
  <c r="U21" i="2"/>
  <c r="U22" i="2"/>
  <c r="U18" i="2"/>
  <c r="U16" i="2"/>
  <c r="T22" i="2"/>
  <c r="T21" i="2"/>
  <c r="T20" i="2"/>
  <c r="T18" i="2"/>
  <c r="T16" i="2"/>
  <c r="S16" i="2"/>
  <c r="S21" i="2"/>
  <c r="S22" i="2"/>
  <c r="S20" i="2"/>
  <c r="U11" i="2"/>
  <c r="U12" i="2"/>
  <c r="U7" i="2"/>
  <c r="U9" i="2"/>
  <c r="U8" i="2"/>
  <c r="T12" i="2"/>
  <c r="T11" i="2"/>
  <c r="S12" i="2"/>
  <c r="S11" i="2"/>
  <c r="C18" i="2"/>
  <c r="M11" i="2"/>
  <c r="M9" i="2"/>
  <c r="N13" i="2"/>
  <c r="C9" i="2"/>
  <c r="C7" i="2"/>
  <c r="C20" i="2"/>
  <c r="H9" i="2"/>
  <c r="S9" i="2"/>
  <c r="T9" i="2"/>
  <c r="S7" i="2"/>
  <c r="T7" i="2"/>
  <c r="H7" i="2"/>
  <c r="T8" i="2"/>
  <c r="J13" i="2"/>
  <c r="L13" i="2"/>
  <c r="S8" i="2"/>
  <c r="I31" i="2" l="1"/>
  <c r="AB7" i="2"/>
  <c r="AB9" i="2"/>
  <c r="C13" i="2"/>
  <c r="V10" i="2"/>
  <c r="AB16" i="2"/>
  <c r="N31" i="2"/>
  <c r="AB17" i="2"/>
  <c r="AB19" i="2"/>
  <c r="L31" i="2"/>
  <c r="AB20" i="2"/>
  <c r="T13" i="2"/>
  <c r="J31" i="2"/>
  <c r="AB11" i="2"/>
  <c r="AB10" i="2"/>
  <c r="W19" i="2"/>
  <c r="H13" i="2"/>
  <c r="M13" i="2"/>
  <c r="O31" i="2"/>
  <c r="Z33" i="2"/>
  <c r="AB29" i="2"/>
  <c r="E31" i="2"/>
  <c r="F31" i="2"/>
  <c r="AB23" i="2"/>
  <c r="T24" i="2"/>
  <c r="AB21" i="2"/>
  <c r="H24" i="2"/>
  <c r="Q31" i="2"/>
  <c r="U31" i="2" s="1"/>
  <c r="M24" i="2"/>
  <c r="S24" i="2"/>
  <c r="P31" i="2"/>
  <c r="K31" i="2"/>
  <c r="C24" i="2"/>
  <c r="D31" i="2"/>
  <c r="U13" i="2"/>
  <c r="S13" i="2"/>
  <c r="AA13" i="2" l="1"/>
  <c r="O33" i="2"/>
  <c r="T31" i="2"/>
  <c r="I33" i="2"/>
  <c r="C31" i="2"/>
  <c r="AB24" i="2"/>
  <c r="V24" i="2"/>
  <c r="M31" i="2"/>
  <c r="S31" i="2"/>
  <c r="H31" i="2"/>
  <c r="H41" i="2" s="1"/>
  <c r="S14" i="2"/>
  <c r="P34" i="2" l="1"/>
  <c r="AA31" i="2"/>
  <c r="M41" i="2"/>
  <c r="M44" i="2" s="1"/>
  <c r="S33" i="2"/>
</calcChain>
</file>

<file path=xl/sharedStrings.xml><?xml version="1.0" encoding="utf-8"?>
<sst xmlns="http://schemas.openxmlformats.org/spreadsheetml/2006/main" count="146" uniqueCount="115">
  <si>
    <t>№</t>
  </si>
  <si>
    <t>Наименование подпрограмм, мероприятия</t>
  </si>
  <si>
    <t>План по программе</t>
  </si>
  <si>
    <t>Уточненный план по бюджету *</t>
  </si>
  <si>
    <t>Кассовое исполнение *</t>
  </si>
  <si>
    <t>Результат реализации мероприятия, причина невыполнения или неполного выполнения мероприятия</t>
  </si>
  <si>
    <t>всего</t>
  </si>
  <si>
    <t>федеральный бюджет</t>
  </si>
  <si>
    <t>Итого по подпрограмме I:</t>
  </si>
  <si>
    <t>Итого по подпрограмме II:</t>
  </si>
  <si>
    <t>Итого по программе:</t>
  </si>
  <si>
    <t xml:space="preserve">окружной
бюджет 
</t>
  </si>
  <si>
    <t xml:space="preserve">городской
 бюджет
</t>
  </si>
  <si>
    <t xml:space="preserve">другие 
источники
</t>
  </si>
  <si>
    <t>2.4</t>
  </si>
  <si>
    <t>2.5</t>
  </si>
  <si>
    <t xml:space="preserve">Обеспечение физкультурно-спортивных организаций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
(показатели 3,5)
</t>
  </si>
  <si>
    <t>2.6</t>
  </si>
  <si>
    <t xml:space="preserve">Укрепление материально-технической базы учреждений спорта      (показатели 5)
</t>
  </si>
  <si>
    <t>мб</t>
  </si>
  <si>
    <t>об</t>
  </si>
  <si>
    <t>внебюджет</t>
  </si>
  <si>
    <t xml:space="preserve"> 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</si>
  <si>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</si>
  <si>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2.1</t>
  </si>
  <si>
    <t>2.3</t>
  </si>
  <si>
    <t xml:space="preserve">Организация и проведение физкультурных (физкультурно-оздоровительных) мероприятий 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</si>
  <si>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 (ГТО)     </t>
  </si>
  <si>
    <t xml:space="preserve">Обеспечение участия в официальных физкультурных (физкультурно-оздоровительных)  мероприятиях     </t>
  </si>
  <si>
    <t>1.3</t>
  </si>
  <si>
    <t>1.1</t>
  </si>
  <si>
    <t xml:space="preserve">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 населению спортивных сооружений            </t>
  </si>
  <si>
    <t xml:space="preserve">Обеспечение комплексной безопасности, в том числе антитеррористической безопасности муниципальных объектов спорта      </t>
  </si>
  <si>
    <t>1.2</t>
  </si>
  <si>
    <t>Региональный проект "Спорт-норма жизни"</t>
  </si>
  <si>
    <t xml:space="preserve">Обеспечение участия  спортивных сборных команд  в официальных  спортивных мероприятиях          </t>
  </si>
  <si>
    <t xml:space="preserve">Создание условий для удовлетворения
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   
</t>
  </si>
  <si>
    <t xml:space="preserve">Обеспечение комплексной безопасности, в том числе антитеррористической безопасности муниципальных объектов спорта      
</t>
  </si>
  <si>
    <t>Подпрограмма 3 "Поддержка социально-ориентированных некоммерческих организаций"</t>
  </si>
  <si>
    <t>3.1</t>
  </si>
  <si>
    <t>Подпрограмма 4 "Обеспечение условий доступности приоритетных объектов и услуг в приоритетных сферах жизнедеятельночти инвалидов и других маломобильных групп населения"</t>
  </si>
  <si>
    <t>4.1</t>
  </si>
  <si>
    <t>Обеспечение условий доступности объектов и услуг сферы физической культуры и спорта для инвалидов и других маломобильных групп населения</t>
  </si>
  <si>
    <t>Итого по подпрограмме III:</t>
  </si>
  <si>
    <t>Итого по подпрограмме IV:</t>
  </si>
  <si>
    <t xml:space="preserve">Подпрограмма 1 «Развитие  физической культуры, массового и детско-юношеского спорта» </t>
  </si>
  <si>
    <t xml:space="preserve">Подпрограмма 2 «Развитие спорта высших достижений и системы подготовки спортивного резерва» </t>
  </si>
  <si>
    <t xml:space="preserve">Укрепление материально-технической базы учреждений спорта. Развитие сети спортивных объектов шаговой доступности     </t>
  </si>
  <si>
    <t>2.1.1</t>
  </si>
  <si>
    <t>2.2.</t>
  </si>
  <si>
    <t>Организация и проведение официальных спортивных мероприятий</t>
  </si>
  <si>
    <t>2.7</t>
  </si>
  <si>
    <t>Основное мероприятие "Укрепление материально-технической базы учреждений спорта"</t>
  </si>
  <si>
    <t>1.1.1</t>
  </si>
  <si>
    <t>1.4</t>
  </si>
  <si>
    <t>1.5</t>
  </si>
  <si>
    <t>1.6</t>
  </si>
  <si>
    <t>без фск исполнение наше</t>
  </si>
  <si>
    <t>Поддержка некоммерческих организаций (за исключением государственных (муниципальных) учреждений), в том числе осуществляющих развитие игровых, приоритетных видов спорта</t>
  </si>
  <si>
    <t>Исполнитель: главный специалист отдела по физической культуре и спорту УКиС</t>
  </si>
  <si>
    <t>А.И. Мусина</t>
  </si>
  <si>
    <r>
      <t xml:space="preserve">В целях обеспечения комплексной безопасности, в том числе антитеррористической безопасности муниципальных объектов спорта МАУ ДО СШ "Олимп" и МАУ "Аквацентр "Дельфин" заключили договора на оказание услуг ежемесячной физической охраны зданий в 2023 году.
</t>
    </r>
    <r>
      <rPr>
        <b/>
        <sz val="11"/>
        <rFont val="Times New Roman"/>
        <family val="1"/>
        <charset val="204"/>
      </rPr>
      <t>Исполнение составило - 99,8%</t>
    </r>
  </si>
  <si>
    <r>
      <t xml:space="preserve">На 31.12.2023 обеспечено участие в 22 официальных физкультурно - оздоровительных мероприятиях (план 22 мероприятий):
по волейболу - 1 ед.; по греко-римской борьбе - 5 ед.; по дзюдо - 6 ед.; по самбо - 6 ед.; по шахматам - 4 ед.
</t>
    </r>
    <r>
      <rPr>
        <b/>
        <sz val="11"/>
        <color theme="1"/>
        <rFont val="Times New Roman"/>
        <family val="1"/>
        <charset val="204"/>
      </rPr>
      <t xml:space="preserve">Исполнение составило - 96,7%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
</t>
    </r>
  </si>
  <si>
    <r>
      <t xml:space="preserve">МБУ ДО СШОР и МБУ ДО СШ заключены договоры на обеспечение комплексной безопасности объектов.
</t>
    </r>
    <r>
      <rPr>
        <b/>
        <sz val="11"/>
        <rFont val="Times New Roman"/>
        <family val="1"/>
        <charset val="204"/>
      </rPr>
      <t>Исполнение составило - 100,0%</t>
    </r>
  </si>
  <si>
    <r>
      <rPr>
        <b/>
        <sz val="12"/>
        <rFont val="Times New Roman"/>
        <family val="1"/>
        <charset val="204"/>
      </rPr>
      <t xml:space="preserve">Отчет о ходе реализации  муниципальной программы
 «Развитие физической культуры и спорта в  городе Пыть-Яхе»
за 2023 год
</t>
    </r>
    <r>
      <rPr>
        <sz val="12"/>
        <rFont val="Calibri"/>
        <family val="2"/>
        <charset val="204"/>
      </rPr>
      <t xml:space="preserve">
</t>
    </r>
  </si>
  <si>
    <r>
      <rPr>
        <sz val="11"/>
        <rFont val="Times New Roman"/>
        <family val="1"/>
        <charset val="204"/>
      </rPr>
      <t>На 31.12.2023 в целях организации и проведения первенства города по видам спорта (приобретения медалей, кубков, дипломов), а также медицинского обеспечения спортивных мероприятий фактические расходы МБУ ДО СШОР составили 210,4 тыс.руб</t>
    </r>
    <r>
      <rPr>
        <b/>
        <sz val="11"/>
        <rFont val="Times New Roman"/>
        <family val="1"/>
        <charset val="204"/>
      </rPr>
      <t>.                                                          
Исполнение составило - 100,0%</t>
    </r>
  </si>
  <si>
    <r>
      <t xml:space="preserve">На базе МАУ ДО СШ "Олимп", согласно утвержденного плана мероприятий на 2023 год в рамках  Всероссийского физкультурно-спортивного комплекса "Готов к труду и обороне" запланированы к проведению 10 городских и 2 выездных мероприятия физкультурно-оздоровительной направленности.  По состоянию на 31.12.2023 проведено 12 мероприятий (10 городских и 2 выездных).                                                                                                                                                                                                                                              
За 2023 год в рамках официальных (по плану СММ) мероприятий приняло участие 270 человек.
В рамках приёма нормативов ВФСК ГТО среди различных возрастных групп населения г. Пыть-Ях (простыми словами - тестирование населения) - приняло участие 380 человек.
Центром тестирования ГТО МАУ ДО СШ "Олимп" в 2023 году оказано содействие в проведении этапов ВФСК ГТО в 3 мероприятиях спортивной направленности (общее количество участников 175 чел.):
- Региональный этап Всероссийской военно-спортивной игры «Зарница» (окружной сборный пункт);
- Региональный этап Спартакиады молодёжи России допризывного возраста (окружной сборный пункт);
- Окружная военно-спортивная игра «Зарница Первых» в Ханты-Мансийском автономном округе – Югре (г. Пыть-Ях).
По итогам 2023 года выполнили нормативы ГТО на знаки отличия 224 человека, из них: 87 бронзовых, 96 серебряных, 41 золотых.
</t>
    </r>
    <r>
      <rPr>
        <b/>
        <sz val="11"/>
        <color theme="1"/>
        <rFont val="Times New Roman"/>
        <family val="1"/>
        <charset val="204"/>
      </rPr>
      <t>Исполнение составило - 99,9%</t>
    </r>
  </si>
  <si>
    <r>
      <t>На 31.12.2023 проведено 42 городских физультурно-оздоровительных и спортивных мероприятия (план 42 мероприятия):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по волейболу - 3 ед.; по баскетболу - 3 ед.; по шахматам - 6 ед.; по дзюдо - 3 ед.; по греко-римской борьбе - 3 ед.; по адаптивной физической культуре - 3 ед.; по XXXII Спартакиаде среди трудовых коллективов, организаций и учреждений города Пыть-Яха - 14 ед.</t>
    </r>
    <r>
      <rPr>
        <sz val="11"/>
        <color theme="1"/>
        <rFont val="Times New Roman"/>
        <family val="1"/>
        <charset val="204"/>
      </rPr>
      <t xml:space="preserve">, по хоккею - 1 ед.; иные спортивно-массовые меропрития - 1 ед. (спортивно-массовое мероприятие «День рекордов», посвящённое Всероссийскому дню физкультурника).
</t>
    </r>
    <r>
      <rPr>
        <b/>
        <sz val="11"/>
        <color theme="1"/>
        <rFont val="Times New Roman"/>
        <family val="1"/>
        <charset val="204"/>
      </rPr>
      <t>Исполнение составило - 96,7%</t>
    </r>
  </si>
  <si>
    <r>
      <t xml:space="preserve">С целью обеспечения деятельности МАУ ДО СШ "Олимп" и МАУ "Аквацентр "Дельфин" проведены расходы в части покрытия обязательств по тепловодоснабжению МУП УГХ, электроэнергии ТЭК, техническому облуживанию электрооборудовании, вывозу ЖБО, услугам связи, прочим работам (услугам), выплате заработной платы работников учреждения, оплате ежегодного оплачиваемого отпуска, льготного проезда к месту отдыха и обратно, и т.д., на сумму 64 970,0 тыс.руб.
Кассовые расход по приносящей доход деятельности (прокат коньков на кортах в 6 мкр., во 2 мкр., услуги тренажерного зала в спортивном зале "Россия" и Аквацентре "Дельфин", предоставление бассейна для плавания) на 31.12.2023 составил 7 295,2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Times New Roman"/>
        <family val="1"/>
        <charset val="204"/>
      </rPr>
      <t>Исполнение составило - 97,3% (с приносящей доход деятельностью);
Исполнение составило - 98,1% (без приносящей доход деятельности).</t>
    </r>
  </si>
  <si>
    <r>
      <rPr>
        <b/>
        <sz val="11"/>
        <color theme="1"/>
        <rFont val="Times New Roman"/>
        <family val="1"/>
        <charset val="204"/>
      </rPr>
      <t>Исполнение составило - 27,0%</t>
    </r>
    <r>
      <rPr>
        <b/>
        <sz val="1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Справочно: 
- без учета средств соисполнителя программы (МКУ «УКС г. Пыть-Яха») исполнение составило 83 911,0 тыс.руб. (97,6%) от утвержденного плана 85 945,4 тыс.руб. (с приносящей доход деятельностью).
- без учета средств соисполнителя программы (МКУ «УКС г. Пыть-Яха») исполнение составило 76 615,8 тыс.руб. (98,3%) от утвержденного плана 77 945,4 тыс.руб. (без приносящей доход деятельностью). </t>
    </r>
  </si>
  <si>
    <r>
      <t xml:space="preserve">С целью обеспечения деятельности МБУ ДО СШ и МБУ ДО СШОР проведены расходы в части покрытия обязательств по тепловодоснабжению МУП УГХ, электроэнергии ТЭК, техническому облуживанию электрооборудовании, вывозу ЖБО, услугам связи, прочим работам (услугам); выплате заработной платы работникам учреждения, оплате ежегодного оплачиваемого отпуска, льготного проезда к месту отдыха и обратно, и т.д., на сумму 98 451,6 тыс.руб. 
Кассовый расход по приносящей доход деятельности (услуги тренажерного зала, занятия  фитнес аэробике) составил 3 864,7 тыс.руб.                                                    
</t>
    </r>
    <r>
      <rPr>
        <b/>
        <sz val="11"/>
        <color theme="1"/>
        <rFont val="Times New Roman"/>
        <family val="1"/>
        <charset val="204"/>
      </rPr>
      <t>Исполнение составило - 100,3% (с приносящей доход деятельностью);
Исполнение составило - 99,5% (без приносящей доход деятельности).</t>
    </r>
  </si>
  <si>
    <r>
      <t xml:space="preserve">Исполнение составило - 100,2%
</t>
    </r>
    <r>
      <rPr>
        <sz val="11"/>
        <color theme="1"/>
        <rFont val="Times New Roman"/>
        <family val="1"/>
        <charset val="204"/>
      </rPr>
      <t xml:space="preserve">Справочно: 
- без учета средств соисполнителя программы (МКУ «УКС г. Пыть-Яха») исполнение составило 123 123,4 тыс.руб. (100,2%) от утвержденного плана 122 819,5 тыс.руб. (с приносящей доход деятельностью); 
- без учета средств соисполнителя программы (МКУ «УКС г. Пыть-Яха») исполнение составило 119 258,7 тыс.руб. (99,5%) от утвержденного плана 119 819,5 тыс.руб. (без приносящей доход деятельностью). </t>
    </r>
  </si>
  <si>
    <r>
      <t xml:space="preserve">Исполнение составило - 45,5%
</t>
    </r>
    <r>
      <rPr>
        <sz val="11"/>
        <color theme="1"/>
        <rFont val="Times New Roman"/>
        <family val="1"/>
        <charset val="204"/>
      </rPr>
      <t xml:space="preserve">Справочно: 
- без учета средств соисполнителя программы (МКУ «УКС г. Пыть-Яха») исполнение составило 207 034,4 тыс.руб. (99,2%) от утвержденного плана 208 764,9 тыс.руб. (с приносящей доход деятельностью);
- без учета средств соисполнителя программы (МКУ «УКС г. Пыть-Яха») исполнение составило 195 874,5 тыс.руб. (99,0%) от утвержденного плана 197 764,9 тыс.руб. (без приносящей доход деятельностью). </t>
    </r>
  </si>
  <si>
    <r>
      <t xml:space="preserve">Заключено соглашение №14-СШ/2023 от 18.01.2023  на софинансирование расходов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 на сумму 5 121,3 тыс.руб. (ОБ - 4 865,2 тыс.руб., МБ - 256,1тыс.руб.).                                                                                                                                                                                                                              В рамках данного соглашения:
1) МБУ ДО СШ заключены договора на: медицинское обслуживание спортивно-массовых мероприятий; углубленное медицинское обследование, для получения допуска к занятию спортом и участия в спортивных соревнованиях; поставку спортивного инвентаря и экипировки. Также воспитанники МБУ ДО СШ приняли участие в 15 выездных спортивно-массовых мероприятиях (план 15 мероприятий): по мини-футболу 7 мероприятий, по волейболу 3 мероприятия, по рукопашному бою 2 мероприятия, по айкидо 2 мероприятия, 1 учебно-тренировочные сборы (г. Тюмень). 
2) МБУ ДО СШОР обеспечено участие спортсменов в 11 выездных спортивно-массовых мероприятиях (план 24 мероприятий), из них по боксу 9 мероприятий, по вольной борьбе 10 мероприятий, по тхэквондо 5 мероприятие. Также воспитанники МБУ ДО СШОР приняли участие в учебно-тренировочных мероприятиях в летний период (г. Сочи, с. Сукко).
</t>
    </r>
    <r>
      <rPr>
        <b/>
        <sz val="11"/>
        <color theme="1"/>
        <rFont val="Times New Roman"/>
        <family val="1"/>
        <charset val="204"/>
      </rPr>
      <t>Исполнение составило - 99,9%</t>
    </r>
  </si>
  <si>
    <r>
      <t xml:space="preserve">На 31.12.2023 МБУ ДО СШОР обеспечено участие спортсменов в 11 выездных спортивных мероприятиях (план 11 мероприятий), из них по боксу 8 мероприятий, по вольной борьбе 2 мероприятия, по тхэквондо 1 мероприятие. Также воспитанники МБУ ДО СШОР приняли участие в интенсивной программе для одаренных детей в области спорта в рамках проведения первого Всероссийского форума училищ олимпийского резерва (г. Ханты-Мансийск), а также учебно-тренировочных мероприятиях (г. Хасавюрт).
На 31.12.2023 МБУ ДО СШ обеспечено участие спортсменов в 31 выездных спортивных мероприятиях (план 31 мероприятий): по лыжным гонкам 5 мероприятий (в том числе участие в учебно-тренировочных сборах г. Тюмень), по волейболу 6 мероприятий (в том числе участие в учебно-тренировочных сборах п. Новомихайловский ДОЛ "Нептун"), по рукопашному бою 6 мероприятий, по пауэрлифтингу 3 мероприятия, по аэробике 1 мероприятие, по мини-футболу 9 мероприятий (в том числе участие в образовательной конференции "комплексный подход к развитию футболиста" г. Москва), по айкидо участие в 1 семинаре в г. Санкт-Петербурге.
</t>
    </r>
    <r>
      <rPr>
        <b/>
        <sz val="11"/>
        <color theme="1"/>
        <rFont val="Times New Roman"/>
        <family val="1"/>
        <charset val="204"/>
      </rPr>
      <t>Исполнение составило -  100,0%</t>
    </r>
  </si>
  <si>
    <r>
      <t>Заключено дополнительное соглашение от 26.01.2023 №71885000-1-2019-005/8  на софинансировани</t>
    </r>
    <r>
      <rPr>
        <sz val="11"/>
        <color theme="1"/>
        <rFont val="Times New Roman"/>
        <family val="1"/>
        <charset val="204"/>
      </rPr>
      <t>е расходов  на государственную поддержку спортивных организаций, осуществляющих подготовку спортивного резерва для сборных команд РФ в размере 243,9 тыс.руб.</t>
    </r>
    <r>
      <rPr>
        <sz val="11"/>
        <rFont val="Times New Roman"/>
        <family val="1"/>
        <charset val="204"/>
      </rPr>
      <t xml:space="preserve">
 На реализацию данного мероприятия предоставлена субсидия в размере 243,9 тыс.руб., в т.ч.:
- за счет средств ФБ – 104,3 тыс.руб.,
- за счет средств ОБ – 127,4 тыс.руб.,
- за счет средств МБ – 12,2 тыс.руб.
МБУ ДО СШОР заключен договор с ИП Бурменко № 03-0423/1 от 03.04.2023 на поставку спортивного инвентаря и оборудования для воспитанников отделений вольной борьбы и бокса. Поставка и оплата товара осуществлена в полном объеме - 100,0%.
Осуществлена поставка: прыжковые тумбы (1 комплект); стенка гимнастическая (3 шт.); степ-платформа (10 шт.); рама для кроссфита (1 комплект); мешок-манекен водоналивной (1 шт.); эспандер ленточный (40 шт.); жилет-утяжелитель (6 шт.).
 </t>
    </r>
    <r>
      <rPr>
        <b/>
        <sz val="11"/>
        <rFont val="Times New Roman"/>
        <family val="1"/>
        <charset val="204"/>
      </rPr>
      <t>Исполнение составило - 100,0%</t>
    </r>
  </si>
  <si>
    <r>
      <t xml:space="preserve">Исполнение на 31.12.2023 составило – 8 862,0 тыс.руб. (100,0%) при плане 8 862,0 тыс.руб., из них:
- в рамках реализации наказов избирателей, поступивших от депутата Думы ХМАО-Югры Елишева С.Е., МБУ ДО СШ приобрело экипировку, рекламно-информационной продукции для отделения по мини-футболу, видеокамеру. Фактические расходы составили 250,0 тыс.руб. ;                                                                                                                                         
- по мероприятию "Приобретение инвентаря по видам спорта" -  997,2 тыс.руб. (МБУ ДО СШ расходы составили - 498,6 тыс.руб. (приобретен борцовский ковер), МБУ ДО СШОР расходы составили - 498,6 тыс.руб. (приобретен борцовский ковер).
- по мероприятию "Архитектурно-художественное освещение зданий" фактические расходы МКУ «УКС г. Пыть-Ях»  на отчетную дату составили - 7 614,8 тыс.руб.
</t>
    </r>
    <r>
      <rPr>
        <b/>
        <sz val="11"/>
        <color theme="1"/>
        <rFont val="Times New Roman"/>
        <family val="1"/>
        <charset val="204"/>
      </rPr>
      <t xml:space="preserve">Исполнение составило - 100,0%
</t>
    </r>
    <r>
      <rPr>
        <sz val="11"/>
        <color theme="1"/>
        <rFont val="Times New Roman"/>
        <family val="1"/>
        <charset val="204"/>
      </rPr>
      <t>Справочно: без учета средств соисполнителя программы (МКУ «УКС г. Пыть-Яха») исполнение составило 1 247,2 тыс.руб. (100,0%) от утвержденного плана 1 247,2 тыс.руб.</t>
    </r>
  </si>
  <si>
    <r>
      <t xml:space="preserve">Исполнение на 31.12.2023 составило – 22 210,2 тыс.руб. (7,4%) при плане 301 374,0 тыс.руб., из них:
1) в рамках программы заключено Соглашение о предоставлении субсидии местному бюджету из бюджета Ханты-Мансийского автономного округа – Югры от 18.01.2022 № 14-ШД/2023 на софинансирование расходов муниципальных образований по развитию сети спортивных объектов шаговой доступности на сумму 908,6 тыс.руб. (ОБ - 863,1 тыс.руб., МБ - 45,5 тыс.руб.).  МАУ ДО СШ "Олимп" заключены договора на поставку системы контроля и управления доступом, систем оповещения и монтаж системы безопасности. Фактический расход на отчетную дату составил 908,6 тыс. руб. (100,0% от утвержденного плана);
2)  в рамках реализации наказов избирателей, поступивших от депутата Думы ХМАО-Югры Елишева С.Е., МАУ ДО СШ "Олимп" приобрело экипировку для отделения дзюдо и самбо. На 31.12.2023 фактические расходы составили 150,0 тыс.руб. (100,0% от утвержденного плана);
3)  по субсидии в целях укрепления материально-технической базы учреждений спорта фактические расходы  на отчетную дату составили – 1 087,9 тыс.руб. (100,0%) при уточненном плане 1 087,9 тыс.руб. (восстановлено: видеонаблюдение, пожарной сигнализации; произведён ремонт спортивных площадок; монтаж: кнопки тревожной сигнализации, пожарной сигнализации, системы видеонаблюдения; и др.)
4) фактические расходы МКУ «УКС г. Пыть-Яха»  на отчетную дату составили - 20 063,7 тыс.руб. </t>
    </r>
    <r>
      <rPr>
        <b/>
        <sz val="11"/>
        <color theme="1"/>
        <rFont val="Times New Roman"/>
        <family val="1"/>
        <charset val="204"/>
      </rPr>
      <t xml:space="preserve">(6,7%) </t>
    </r>
    <r>
      <rPr>
        <sz val="11"/>
        <color theme="1"/>
        <rFont val="Times New Roman"/>
        <family val="1"/>
        <charset val="204"/>
      </rPr>
      <t xml:space="preserve">при уточненном плане 299 227,5 тыс.руб., из них:
- выполнение работ по капитальному ремонту объекта МБУ ДО СШ Спортивно-оздоровительный комплекс (г. Пыть-Ях, мкр. №10 "Мамонтово", зд. 8) - 14 953,3 тыс.руб. (100,0%);
-  обустройство универсальной спортивной площадки (г. Пыть-Ях, мкр. 2 Нефтяников, территория жилых домов № 3, 4, 5) - 5 110,4 тыс. руб. (87,2% от плана - 5 863,4).
</t>
    </r>
    <r>
      <rPr>
        <b/>
        <sz val="11"/>
        <color theme="1"/>
        <rFont val="Times New Roman"/>
        <family val="1"/>
        <charset val="204"/>
      </rPr>
      <t xml:space="preserve">Исполнение составило - 7,4% 
</t>
    </r>
    <r>
      <rPr>
        <sz val="11"/>
        <color theme="1"/>
        <rFont val="Times New Roman"/>
        <family val="1"/>
        <charset val="204"/>
      </rPr>
      <t>Справочно: без учета средств соисполнителя программы (МКУ «УКС г. Пыть-Яха») исполнение составило 2 146,5 тыс.руб. (100,0%) от утвержденного плана 2 146,5 тыс.руб.</t>
    </r>
  </si>
  <si>
    <t>другие</t>
  </si>
  <si>
    <t>Уточненный план по бюджету</t>
  </si>
  <si>
    <t>Кассовое исполнение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</si>
  <si>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</si>
  <si>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План по программе (с изменениями)</t>
  </si>
  <si>
    <r>
      <rPr>
        <b/>
        <sz val="12"/>
        <rFont val="Times New Roman"/>
        <family val="1"/>
        <charset val="204"/>
      </rPr>
      <t xml:space="preserve">Отчет о ходе реализации муниципальной программы
 «Развитие физической культуры и спорта в  городе Пыть-Яхе»
за 1 квартал 2024 года
</t>
    </r>
    <r>
      <rPr>
        <sz val="12"/>
        <rFont val="Calibri"/>
        <family val="2"/>
        <charset val="204"/>
      </rPr>
      <t xml:space="preserve">
</t>
    </r>
  </si>
  <si>
    <t>Исполнитель: А.И. Мусина, тел.: 8 (3463) 42-23-09</t>
  </si>
  <si>
    <r>
      <t xml:space="preserve">С целью обеспечения деятельности МАУ "Аквацентр "Дельфин" проведены расходы в части покрытия обязательств по тепловодоснабжению МУП УГХ, электроэнергии ТЭК, техническому облуживанию электрооборудовании, вывозу ЖБО, услугам связи, прочим работам (услугам), выплате заработной платы работников учреждения, оплате ежегодного оплачиваемого отпуска, льготного проезда к месту отдыха и обратно, и т.д., на сумму 7 502,5 тыс.руб.
Кассовые расход по приносящей доход деятельности (предоставление бассейна для плавания, посещений тренажерного зала) на 01.04.2024 составил 3 120,9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Times New Roman"/>
        <family val="1"/>
        <charset val="204"/>
      </rPr>
      <t>Исполнение составило - 20,8% (с приносящей доход деятельностью);
Исполнение составило - 17,6% (без приносящей доход деятельности).</t>
    </r>
  </si>
  <si>
    <r>
      <t xml:space="preserve">МАУ ДО СШ "Олимп", МБУ ДО СШОР и МБУ ДО СШ заключены договоры на обеспечение комплексной безопасности объектов.
</t>
    </r>
    <r>
      <rPr>
        <b/>
        <sz val="11"/>
        <color theme="1"/>
        <rFont val="Times New Roman"/>
        <family val="1"/>
        <charset val="204"/>
      </rPr>
      <t>Исполнение составило - 17,0%</t>
    </r>
  </si>
  <si>
    <r>
      <t xml:space="preserve">На базе МАУ ДО СШ «Олимп»,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 
По состоянию на 01.04.2024 проведено 3 городских мероприятия.                                                                                                                                                                                                                                   
Итого за I кв. 2024 года в рамках официальных (по плану СММ) мероприятий приняло участие 84 человека.
В рамках приёма нормативов ВФСК ГТО среди различных возрастных групп населения г. Пыть-Ях (простыми словами - тестирование населения) - приняло участие 142 человек.
Центром тестирования ГТО МАУ ДО СШ "Олимп" в 2024 году оказано содействие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чел.).
Также в целях обеспечения деятельности Центра тестирования ГТО МАУ ДО СШ "Олимп" приобрело наградную продукцию,  флагштоки и  стартовые номера из ткани.
</t>
    </r>
    <r>
      <rPr>
        <b/>
        <sz val="11"/>
        <color theme="1"/>
        <rFont val="Times New Roman"/>
        <family val="1"/>
        <charset val="204"/>
      </rPr>
      <t>Исполнение составило - 60,9%</t>
    </r>
  </si>
  <si>
    <t>Муниципальная программа "Развитие физической культуры и спорта в  городе Пыть-Яхе" (всего)</t>
  </si>
  <si>
    <t>1. Направление (подпрограмма) «Развитие физической культуры и массового спорта» (всего)</t>
  </si>
  <si>
    <t>1.1. Структурный элемент муниципальной программы "Региональный проект "Спорт-норма жизни" (всего)</t>
  </si>
  <si>
    <t xml:space="preserve">1.2. Структурный элемент муниципальной программы "Организация, проведение и обеспечение участия в официальных физкультурных (физкультурно-оздоровительных) мероприятиях" (всего) </t>
  </si>
  <si>
    <t>1.3. Структурный элемент муниципальной программы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 (всего)</t>
  </si>
  <si>
    <t>1.4. Структурный элемент муниципальной программы "Обеспечение комплексной безопасности, в том числе антитеррористической безопасности муниципальных объектов спорта" (всего)</t>
  </si>
  <si>
    <t>1.5. Структурный элемент муниципальной программы "Укрепление материально-технической базы учреждений спорта. Развитие сети спортивных объектов шаговой доступности" (всего)</t>
  </si>
  <si>
    <t>2. Направление (подпрограмма) «Развитие спорта высших достижений, системы подготовки спортивного резерва и детско-юношеского спорта» (всего)</t>
  </si>
  <si>
    <t>2.1. Структурный элемент муниципальной программы "Региональный проект "Спорт-норма жизни" (всего)</t>
  </si>
  <si>
    <t>2.2. Структурный элемент муниципальной программы "Организация, проведение и обеспечение участия в официальных спортивных мероприятиях" (всего)</t>
  </si>
  <si>
    <t>2.3. Структурный элемент муниципальной программы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 (всего)</t>
  </si>
  <si>
    <t>2.4. Структурный элемент муниципальной программы "Обеспечение комплексной безопасности, в том числе антитеррористической безопасности муниципальных объектов спорта" (всего)</t>
  </si>
  <si>
    <t>2.5. Структурный элемент муниципальной программы "Обеспечение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 (всего)</t>
  </si>
  <si>
    <t>2.6. Структурный элемент муниципальной программы "Укрепление материально-технической базы учреждений спорта" (всего)</t>
  </si>
  <si>
    <t>3. Направление (подпрограмма) «Поддержка социально ориентированных некоммерческих организаций» (всего)</t>
  </si>
  <si>
    <t>3.1. Структурный элемент муниципальной программы "Поддержка некоммерческих организаций (за исключением государственных (муниципальных) учреждений), в том числе осуществляющих развитие игровых, приоритетных видов спорта" (всего)</t>
  </si>
  <si>
    <r>
      <rPr>
        <sz val="11"/>
        <color theme="1"/>
        <rFont val="Times New Roman"/>
        <family val="1"/>
        <charset val="204"/>
      </rPr>
      <t>На 01.04.2024:
1) МБУ ДО СШОР:
- проведено 3 городских спортивных мероприятия (план 14мероприятия): по боксу - 2 ед.; по вольной борьбе - 1 ед.; по тхэквондо - 1 ед.;
- обеспечено участие спортсменов в 13 выездных спортивных мероприятиях (план 19 мероприятий), из них: по боксу - 4 мероприятия, по вольной борьбе - 4 мероприятия, по тхэквондо - 5 мероприятий. Также воспитанники МБУ ДО СШОР приняли участие учебно-тренировочном мероприятии по вольной борьбе (г. Хасавюрт);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2) МБУ ДО СШ:
- проведено 18 городских спортивных мероприятия: по баскетболу 1 мероприятие, по лыжным гонкам 3 мероприятия, по волейболу 3 мероприятия, по мини-футболу 9 мероприятий, по айкидо 1 мероприятие;</t>
    </r>
    <r>
      <rPr>
        <sz val="11"/>
        <color rgb="FFFF0000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- обеспечено участие спортсменов в 24 выездных спортивных мероприятиях (план 31 мероприятие): по лыжным гонкам 2 мероприятия, по волейболу 5 мероприятий, по рукопашному бою 3 мероприятия, по пауэрлифтингу 2 мероприятия, по мини-футболу 10 мероприятий, по айкидо 2 мероприятия.</t>
    </r>
    <r>
      <rPr>
        <b/>
        <sz val="11"/>
        <color rgb="FFFF0000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Исполнение составило - 39,8%</t>
    </r>
  </si>
  <si>
    <r>
      <t xml:space="preserve">В рамках программы заключено Соглашение о предоставлении субсидии местному бюджету из бюджета Ханты-Мансийского автономного округа – Югры от 02.02.2024 № 14-ШД/2024 на софинансирование расходов муниципальных образований по развитию сети спортивных объектов шаговой доступности на сумму 1 082,9 тыс.руб. (ОБ - 1 028,8 тыс.руб., МБ - 54,1 тыс.руб.).  МАУ ДО СШ "Олимп" заключены договора на переустановку КТС на объектах, установку СКУД, переустановку системы экстренного оповещения посетителей и работников, переоборудование видеонаблюдения, установка дополнительных кнопок тревожной сигнализации.  Плановый срок заключения договоров: апрель-май 2024г. Фактический расход на отчетную дату составил 0,0 тыс. руб. (0,0% от утвержденного плана).
</t>
    </r>
    <r>
      <rPr>
        <b/>
        <sz val="11"/>
        <color theme="1"/>
        <rFont val="Times New Roman"/>
        <family val="1"/>
        <charset val="204"/>
      </rPr>
      <t>Исполнение составило - 0,0%</t>
    </r>
  </si>
  <si>
    <r>
      <rPr>
        <b/>
        <sz val="11"/>
        <color theme="1"/>
        <rFont val="Times New Roman"/>
        <family val="1"/>
        <charset val="204"/>
      </rPr>
      <t>Исполнение составило - 20,5%</t>
    </r>
    <r>
      <rPr>
        <b/>
        <sz val="1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Справочно: 
- без средств приносящей доход деятельности исполнение составило 9 015,0 тыс.руб. (17,7%) от утвержденного плана 50 798,3 тыс.руб.</t>
    </r>
  </si>
  <si>
    <r>
      <t xml:space="preserve">На 01.04.2024:
- проведено 15 городских физкультурно-оздоровительных и спортивных мероприятия (план 44 мероприятия): по волейболу - 2 ед.; по баскетболу - 1 ед.; по шахматам - 2 ед.; по дзюдо - 1 ед.; по греко-римской борьбе - 1 ед.; по адаптивной физической культуре - 4 ед.; по XXXII Спартакиаде среди трудовых коллективов, организаций и учреждений города Пыть-Яха - 2 ед., по хоккею - 1 ед.; иные спортивно-массовые мероприятия - 1 ед. (лыжный забег, приуроченный к «Лыжне России 2024»);
- обеспечено участие в 14 официальных физкультурно-оздоровительных мероприятиях (план 30 мероприятий): по греко-римской борьбе - 3 ед.; по дзюдо - 3 ед.; по самбо - 3 ед.; по шахматам - 3 ед., по адаптивной физической культуре - 2 ед.
</t>
    </r>
    <r>
      <rPr>
        <b/>
        <sz val="11"/>
        <color theme="1"/>
        <rFont val="Times New Roman"/>
        <family val="1"/>
        <charset val="204"/>
      </rPr>
      <t>Исполнение составило - 43,4%</t>
    </r>
  </si>
  <si>
    <r>
      <t xml:space="preserve">В целях обеспечения комплексной безопасности, в том числе антитеррористической безопасности муниципальных объектов спорта:
- МАУ "Аквацентр "Дельфин" заключили договора на оказание услуг ежемесячной физической охраны зданий в 2024 году;
- МАУ ДО СШ "Олимп" ведётся работа по заключению договоров на оказание услуг противопожарной безопасности: перемотка рукавов, зарядка огнетушителей, испытание пожарных рукавов, приобретение плановой эвакуации, замена светильников в спортивной зале "Россия", и др. Плановый срок заключения договоров: апрель-май 2024г.
</t>
    </r>
    <r>
      <rPr>
        <b/>
        <sz val="11"/>
        <color theme="1"/>
        <rFont val="Times New Roman"/>
        <family val="1"/>
        <charset val="204"/>
      </rPr>
      <t>Исполнение составило - 7,6%</t>
    </r>
  </si>
  <si>
    <r>
      <t xml:space="preserve"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тыс.руб., из них:
- за счет средств ФБ – 138,3 тыс.руб.,
- за счет средств ОБ – 169,0 тыс.руб.,
- за счет средств МБ – 16,2 тыс.руб.
МБУ ДО СШОР заключен договор с АНО "СОК "ЛОТОС" № 0324 от 29.03.2024 на временное размещение (проживание и питание) 15 человек, в период с 15.07.2024 по 29.07.2024 во время проведения учебно-тренировочных мероприятий (бокс). 
Согласно условиям договора 50% оплаты будет произведено до 15.07.2024 (день заезда) на основании предоставленного счета на предоплату. Окончательный расчет за фактически оказанные услуги на основании счет-фактуры и актов оказанных услуг в течении 10 рабочих дней.
 </t>
    </r>
    <r>
      <rPr>
        <b/>
        <sz val="11"/>
        <rFont val="Times New Roman"/>
        <family val="1"/>
        <charset val="204"/>
      </rPr>
      <t>Исполнение составило - 0,0%</t>
    </r>
  </si>
  <si>
    <r>
      <t xml:space="preserve">С целью обеспечения деятельности МАУ ДО СШ "Олимп", МБУ ДО СШ и МБУ ДО СШОР проведены расходы в части покрытия обязательств по тепловодоснабжению МУП УГХ, электроэнергии ТЭК, техническому облуживанию электрооборудовании, вывозу ЖБО, услугам связи, прочим работам (услугам); выплате заработной платы работникам учреждения, оплате ежегодного оплачиваемого отпуска, льготного проезда к месту отдыха и обратно, и т.д., на сумму 38 984,0 тыс.руб. 
Кассовый расход по приносящей доход деятельности (в МБУ ДО СШ: услуги тренажерного зала, занятия  фитнес аэробике; МАУ ДО СШ "Олимп": прокат коньков на кортах в 6 мкр. и 2 мкр.) составил 867,5 тыс.руб.                                                    
</t>
    </r>
    <r>
      <rPr>
        <b/>
        <sz val="11"/>
        <color theme="1"/>
        <rFont val="Times New Roman"/>
        <family val="1"/>
        <charset val="204"/>
      </rPr>
      <t>Исполнение составило - 23,2% (с приносящей доход деятельностью);
Исполнение составило - 23,0% (без приносящей доход деятельности).</t>
    </r>
  </si>
  <si>
    <r>
      <t xml:space="preserve">Заключено соглашение №14-СШ/2024 от 12.02.2024  на софинансирование расходов по обеспечениюобразовательных организаций, осуществляющих подготовку спортивного резерва на сумму 7 225,5 тыс.руб. (ОБ - 6 864,2 тыс.руб., МБ - 361,3 тыс.руб.).                                                                                                                                                                                                                              В рамках данного соглашения:
1) МБУ ДО СШ заключены договора на: медицинское обслуживание спортивно-массовых мероприятий; углубленное медицинское обследование, для получения допуска к занятию спортом и участия в спортивных соревнованиях; поставку спортивного инвентаря и экипировки. Также воспитанники МБУ ДО СШ приняли участие в 5 выездных спортивно-массовых мероприятиях (план 12 мероприятий): по мини-футболу 2 мероприятия, по волейболу 1 мероприятие, по рукопашному бою 1 мероприятие, по айкидо 1 мероприятие;
2) МБУ ДО СШОР обеспечено участие спортсменов в 7 выездных спортивных мероприятиях, из них: по боксу - 5 мероприятий, по вольной борьбе - 1 мероприятия, по тхэквондо - 1 мероприятий;
3) МАУ ДО СШ "Олимп" состоялась котировка на приобретение компьютерной техники для шахматного клуба, а также планируется приобретение спортивной экипировки для отделения дзюдо, самбо и греко-римской борьбы.  Плановый срок заключения договоров: апрель 2024г.
</t>
    </r>
    <r>
      <rPr>
        <b/>
        <sz val="11"/>
        <color theme="1"/>
        <rFont val="Times New Roman"/>
        <family val="1"/>
        <charset val="204"/>
      </rPr>
      <t>Исполнение составило - 0,0%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</si>
  <si>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Исполнение составило - 13,4%
</t>
    </r>
    <r>
      <rPr>
        <sz val="11"/>
        <color theme="1"/>
        <rFont val="Times New Roman"/>
        <family val="1"/>
        <charset val="204"/>
      </rPr>
      <t xml:space="preserve">Справочно: 
- без учета средств соисполнителя программы (МКУ «УКС г. Пыть-Яха») исполнение составило 45 341,2 тыс.руб. (22,7%) от утвержденного плана 199 642,9 тыс.руб. (с приносящей доход деятельностью); 
- без учета средств соисполнителя программы (МКУ «УКС г. Пыть-Яха») исполнение составило 44 473,7 тыс.руб. (22,5%) от утвержденного плана 197 397,2 тыс.руб. (без приносящей доход деятельностью). </t>
    </r>
  </si>
  <si>
    <r>
      <t xml:space="preserve">Исполнение составило - 14,3%
</t>
    </r>
    <r>
      <rPr>
        <sz val="11"/>
        <color theme="1"/>
        <rFont val="Times New Roman"/>
        <family val="1"/>
        <charset val="204"/>
      </rPr>
      <t xml:space="preserve">Справочно: 
- без учета средств соисполнителя программы (МКУ «УКС г. Пыть-Яха») исполнение составило 57 477,1 тыс.руб. (22,2%) от утвержденного плана 258 974,9 тыс.руб. (с приносящей доход деятельностью);
- без учета средств соисполнителя программы (МКУ «УКС г. Пыть-Яха») исполнение составило 53 488,7 тыс.руб. (21,6%) от утвержденного плана 248 195,5 тыс.руб. (без приносящей доход деятельностью). </t>
    </r>
  </si>
  <si>
    <r>
      <t xml:space="preserve">Исполнение МКУ «УКС г. Пыть-Яха» на 01.04.2024 составило – 7 981,8 тыс.руб. (4,0%) при плане 199 679,7 тыс.руб., из них:
- по мероприятию "Строительство объекта: "Физкультурно-спортивный комплекс" для единоборств по адресу: г. Пыть-Ях, 10 микрорайон "Мамонтово" при плане 188 324,7 тыс.руб. исполнение составило 4,2% или 7 981,8 тыс.руб. (оплата выполненных работ по разработке проектно-сметной документации на строительство объекта: «Физкультурно-спортивный комплекс» для единоборств по адресу: г. Пыть-Ях, микрорайон №10 «Мамонтово» по муниципальному контракту с ООО "РуПроект" №0187300019422000132 от 06.09.2022);                                                                                                                                         
- по мероприятию "Ремонт вентиляционных систем спортивных объектов, проект системы вентиляции" исполнение 0,0 тыс.руб. при плане 5 921,2 тыс. руб. Проведён электронный аукцион на сумму 3 691,6 тыс.руб.;
- по мероприятию "Ремонт модульной лыжной базы" фактические расходы МКУ «УКС г. Пыть-Ях»  исполнение 0,0 тыс.руб. при плане 5 433,8 тыс.руб.
</t>
    </r>
    <r>
      <rPr>
        <b/>
        <sz val="11"/>
        <color theme="1"/>
        <rFont val="Times New Roman"/>
        <family val="1"/>
        <charset val="204"/>
      </rPr>
      <t>Исполнение составило - 4,0%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</si>
</sst>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sz val="10"/>
      <color theme="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0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Fill="1"/>
    <xf numFmtId="165" fontId="0" fillId="0" borderId="0" xfId="0" applyNumberFormat="1" applyFill="1"/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165" fontId="9" fillId="0" borderId="0" xfId="0" applyNumberFormat="1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/>
    <xf numFmtId="165" fontId="7" fillId="0" borderId="8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justify" vertical="top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textRotation="90" wrapText="1"/>
    </xf>
    <xf numFmtId="0" fontId="14" fillId="0" borderId="0" xfId="0" applyFont="1" applyFill="1"/>
    <xf numFmtId="165" fontId="15" fillId="0" borderId="8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5" fontId="13" fillId="0" borderId="0" xfId="0" applyNumberFormat="1" applyFont="1" applyFill="1"/>
    <xf numFmtId="0" fontId="16" fillId="0" borderId="0" xfId="0" applyFont="1" applyFill="1" applyBorder="1"/>
    <xf numFmtId="165" fontId="6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0" fillId="0" borderId="0" xfId="0" applyFont="1" applyFill="1"/>
    <xf numFmtId="166" fontId="6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vertical="center"/>
    </xf>
    <xf numFmtId="166" fontId="0" fillId="0" borderId="0" xfId="0" applyNumberFormat="1" applyFill="1" applyAlignment="1">
      <alignment horizontal="left"/>
    </xf>
    <xf numFmtId="165" fontId="21" fillId="0" borderId="0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/>
    </xf>
    <xf numFmtId="166" fontId="6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/>
    </xf>
    <xf numFmtId="0" fontId="17" fillId="0" borderId="0" xfId="0" applyFont="1" applyFill="1"/>
    <xf numFmtId="165" fontId="19" fillId="0" borderId="0" xfId="0" applyNumberFormat="1" applyFont="1" applyFill="1"/>
    <xf numFmtId="0" fontId="22" fillId="0" borderId="0" xfId="0" applyFont="1" applyFill="1"/>
    <xf numFmtId="165" fontId="18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top"/>
    </xf>
    <xf numFmtId="0" fontId="12" fillId="0" borderId="0" xfId="0" applyFont="1" applyFill="1"/>
    <xf numFmtId="2" fontId="12" fillId="0" borderId="0" xfId="0" applyNumberFormat="1" applyFont="1" applyFill="1"/>
    <xf numFmtId="166" fontId="19" fillId="0" borderId="0" xfId="0" applyNumberFormat="1" applyFont="1" applyFill="1"/>
    <xf numFmtId="0" fontId="23" fillId="0" borderId="0" xfId="0" applyFont="1" applyFill="1"/>
    <xf numFmtId="166" fontId="24" fillId="0" borderId="0" xfId="0" applyNumberFormat="1" applyFont="1" applyFill="1"/>
    <xf numFmtId="0" fontId="7" fillId="0" borderId="1" xfId="0" applyFont="1" applyFill="1" applyBorder="1" applyAlignment="1">
      <alignment horizontal="center" vertical="center" textRotation="90"/>
    </xf>
    <xf numFmtId="166" fontId="7" fillId="0" borderId="2" xfId="0" applyNumberFormat="1" applyFont="1" applyFill="1" applyBorder="1" applyAlignment="1">
      <alignment horizontal="center" vertical="top" wrapText="1"/>
    </xf>
    <xf numFmtId="165" fontId="11" fillId="0" borderId="0" xfId="0" applyNumberFormat="1" applyFont="1" applyFill="1"/>
    <xf numFmtId="165" fontId="20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top"/>
    </xf>
    <xf numFmtId="0" fontId="11" fillId="0" borderId="1" xfId="0" applyFont="1" applyFill="1" applyBorder="1"/>
    <xf numFmtId="165" fontId="3" fillId="0" borderId="0" xfId="0" applyNumberFormat="1" applyFont="1" applyFill="1" applyBorder="1" applyAlignment="1">
      <alignment horizontal="justify" vertical="top"/>
    </xf>
    <xf numFmtId="0" fontId="26" fillId="0" borderId="0" xfId="0" applyFont="1" applyFill="1"/>
    <xf numFmtId="165" fontId="27" fillId="0" borderId="0" xfId="0" applyNumberFormat="1" applyFont="1" applyFill="1" applyAlignment="1">
      <alignment vertical="top"/>
    </xf>
    <xf numFmtId="165" fontId="28" fillId="0" borderId="0" xfId="0" applyNumberFormat="1" applyFont="1" applyFill="1" applyAlignment="1">
      <alignment vertical="top"/>
    </xf>
    <xf numFmtId="0" fontId="27" fillId="0" borderId="0" xfId="0" applyFont="1" applyFill="1" applyAlignment="1">
      <alignment vertical="top"/>
    </xf>
    <xf numFmtId="0" fontId="28" fillId="0" borderId="0" xfId="0" applyFont="1" applyFill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/>
    </xf>
    <xf numFmtId="165" fontId="10" fillId="0" borderId="0" xfId="0" applyNumberFormat="1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vertical="top"/>
    </xf>
    <xf numFmtId="165" fontId="29" fillId="0" borderId="0" xfId="0" applyNumberFormat="1" applyFont="1" applyFill="1" applyBorder="1" applyAlignment="1">
      <alignment vertical="top"/>
    </xf>
    <xf numFmtId="0" fontId="29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11" fillId="0" borderId="0" xfId="0" applyFont="1" applyFill="1" applyBorder="1"/>
    <xf numFmtId="166" fontId="6" fillId="0" borderId="2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justify" vertical="top"/>
    </xf>
    <xf numFmtId="165" fontId="6" fillId="0" borderId="1" xfId="0" applyNumberFormat="1" applyFont="1" applyFill="1" applyBorder="1" applyAlignment="1">
      <alignment horizontal="justify" vertical="top"/>
    </xf>
    <xf numFmtId="165" fontId="7" fillId="0" borderId="1" xfId="0" applyNumberFormat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justify" vertical="top" wrapText="1"/>
    </xf>
    <xf numFmtId="0" fontId="30" fillId="0" borderId="1" xfId="0" applyFont="1" applyFill="1" applyBorder="1" applyAlignment="1">
      <alignment horizontal="left" vertical="top" wrapText="1"/>
    </xf>
    <xf numFmtId="166" fontId="7" fillId="3" borderId="2" xfId="0" applyNumberFormat="1" applyFont="1" applyFill="1" applyBorder="1" applyAlignment="1">
      <alignment horizontal="center" vertical="top"/>
    </xf>
    <xf numFmtId="166" fontId="7" fillId="3" borderId="1" xfId="0" applyNumberFormat="1" applyFont="1" applyFill="1" applyBorder="1" applyAlignment="1">
      <alignment horizontal="center" vertical="top"/>
    </xf>
    <xf numFmtId="165" fontId="30" fillId="0" borderId="2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165" fontId="30" fillId="0" borderId="1" xfId="0" applyNumberFormat="1" applyFont="1" applyFill="1" applyBorder="1" applyAlignment="1">
      <alignment horizontal="left" vertical="top" wrapText="1"/>
    </xf>
    <xf numFmtId="166" fontId="30" fillId="0" borderId="1" xfId="0" applyNumberFormat="1" applyFont="1" applyFill="1" applyBorder="1" applyAlignment="1">
      <alignment horizontal="center" vertical="top"/>
    </xf>
    <xf numFmtId="166" fontId="0" fillId="0" borderId="0" xfId="0" applyNumberFormat="1" applyFill="1" applyAlignment="1">
      <alignment horizontal="left" vertical="center"/>
    </xf>
    <xf numFmtId="166" fontId="20" fillId="0" borderId="0" xfId="0" applyNumberFormat="1" applyFont="1" applyFill="1" applyAlignment="1">
      <alignment horizontal="left"/>
    </xf>
    <xf numFmtId="165" fontId="31" fillId="0" borderId="1" xfId="0" applyNumberFormat="1" applyFont="1" applyFill="1" applyBorder="1" applyAlignment="1">
      <alignment horizontal="justify" vertical="top" wrapText="1"/>
    </xf>
    <xf numFmtId="0" fontId="10" fillId="0" borderId="0" xfId="0" applyFont="1" applyFill="1" applyAlignment="1">
      <alignment horizontal="left" vertical="top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2" xfId="0" applyNumberFormat="1" applyFont="1" applyFill="1" applyBorder="1" applyAlignment="1">
      <alignment horizontal="left" vertical="top" wrapText="1"/>
    </xf>
    <xf numFmtId="166" fontId="7" fillId="4" borderId="1" xfId="0" applyNumberFormat="1" applyFont="1" applyFill="1" applyBorder="1" applyAlignment="1">
      <alignment horizontal="left" vertical="top" wrapText="1"/>
    </xf>
    <xf numFmtId="0" fontId="17" fillId="4" borderId="0" xfId="0" applyFont="1" applyFill="1"/>
    <xf numFmtId="166" fontId="7" fillId="5" borderId="1" xfId="0" applyNumberFormat="1" applyFont="1" applyFill="1" applyBorder="1" applyAlignment="1">
      <alignment horizontal="left" vertical="top" wrapText="1"/>
    </xf>
    <xf numFmtId="165" fontId="31" fillId="5" borderId="1" xfId="0" applyNumberFormat="1" applyFont="1" applyFill="1" applyBorder="1" applyAlignment="1">
      <alignment horizontal="justify" vertical="top" wrapText="1"/>
    </xf>
    <xf numFmtId="0" fontId="0" fillId="5" borderId="0" xfId="0" applyFill="1" applyAlignment="1">
      <alignment horizontal="left"/>
    </xf>
    <xf numFmtId="0" fontId="11" fillId="4" borderId="0" xfId="0" applyFont="1" applyFill="1"/>
    <xf numFmtId="0" fontId="0" fillId="4" borderId="0" xfId="0" applyFill="1" applyAlignment="1">
      <alignment horizontal="left"/>
    </xf>
    <xf numFmtId="165" fontId="31" fillId="4" borderId="1" xfId="0" applyNumberFormat="1" applyFont="1" applyFill="1" applyBorder="1" applyAlignment="1">
      <alignment horizontal="justify" vertical="top" wrapText="1"/>
    </xf>
    <xf numFmtId="165" fontId="7" fillId="5" borderId="1" xfId="0" applyNumberFormat="1" applyFont="1" applyFill="1" applyBorder="1" applyAlignment="1">
      <alignment horizontal="center" vertical="top"/>
    </xf>
    <xf numFmtId="165" fontId="7" fillId="4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165" fontId="30" fillId="0" borderId="1" xfId="0" applyNumberFormat="1" applyFont="1" applyFill="1" applyBorder="1" applyAlignment="1">
      <alignment horizontal="center" vertical="top"/>
    </xf>
    <xf numFmtId="165" fontId="7" fillId="4" borderId="2" xfId="0" applyNumberFormat="1" applyFont="1" applyFill="1" applyBorder="1" applyAlignment="1">
      <alignment horizontal="center" vertical="top"/>
    </xf>
    <xf numFmtId="165" fontId="6" fillId="0" borderId="2" xfId="0" applyNumberFormat="1" applyFont="1" applyFill="1" applyBorder="1" applyAlignment="1">
      <alignment horizontal="center" vertical="top"/>
    </xf>
    <xf numFmtId="165" fontId="7" fillId="4" borderId="1" xfId="0" applyNumberFormat="1" applyFont="1" applyFill="1" applyBorder="1" applyAlignment="1">
      <alignment horizontal="justify" vertical="top" wrapText="1"/>
    </xf>
    <xf numFmtId="0" fontId="33" fillId="0" borderId="1" xfId="0" applyFont="1" applyFill="1" applyBorder="1" applyAlignment="1">
      <alignment vertical="top" wrapText="1"/>
    </xf>
    <xf numFmtId="165" fontId="30" fillId="0" borderId="1" xfId="0" applyNumberFormat="1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tabSelected="1" view="pageBreakPreview" topLeftCell="G1" zoomScale="55" zoomScaleNormal="82" zoomScaleSheetLayoutView="55" workbookViewId="0">
      <selection activeCell="Q18" sqref="Q18"/>
    </sheetView>
  </sheetViews>
  <sheetFormatPr defaultColWidth="9.140625" defaultRowHeight="15" x14ac:dyDescent="0.25"/>
  <cols>
    <col min="1" max="1" width="37.140625" style="9" customWidth="1"/>
    <col min="2" max="2" width="12.85546875" style="41" bestFit="1" customWidth="1"/>
    <col min="3" max="3" width="9.140625" style="9" customWidth="1"/>
    <col min="4" max="4" width="10.42578125" style="9" customWidth="1"/>
    <col min="5" max="5" width="12.85546875" style="9" bestFit="1" customWidth="1"/>
    <col min="6" max="6" width="9.140625" style="9" customWidth="1"/>
    <col min="7" max="7" width="13.5703125" style="41" customWidth="1"/>
    <col min="8" max="8" width="10.42578125" style="9" bestFit="1" customWidth="1"/>
    <col min="9" max="9" width="9.140625" style="9"/>
    <col min="10" max="10" width="11.28515625" style="9" customWidth="1"/>
    <col min="11" max="11" width="10" style="9" bestFit="1" customWidth="1"/>
    <col min="12" max="12" width="13.42578125" style="35" customWidth="1"/>
    <col min="13" max="13" width="9.140625" style="1"/>
    <col min="14" max="14" width="10.7109375" style="1" bestFit="1" customWidth="1"/>
    <col min="15" max="15" width="11.7109375" style="1" customWidth="1"/>
    <col min="16" max="16" width="12.28515625" style="1" customWidth="1"/>
    <col min="17" max="17" width="73.5703125" style="12" customWidth="1"/>
    <col min="18" max="18" width="8.42578125" style="27" bestFit="1" customWidth="1"/>
    <col min="19" max="20" width="8.42578125" style="25" bestFit="1" customWidth="1"/>
    <col min="21" max="21" width="8.42578125" style="1" bestFit="1" customWidth="1"/>
    <col min="22" max="16384" width="9.140625" style="1"/>
  </cols>
  <sheetData>
    <row r="1" spans="1:23" ht="70.5" customHeight="1" x14ac:dyDescent="0.25">
      <c r="A1" s="116" t="s">
        <v>83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23" x14ac:dyDescent="0.25">
      <c r="A2" s="118" t="s">
        <v>1</v>
      </c>
      <c r="B2" s="120" t="s">
        <v>82</v>
      </c>
      <c r="C2" s="121"/>
      <c r="D2" s="121"/>
      <c r="E2" s="121"/>
      <c r="F2" s="122"/>
      <c r="G2" s="123" t="s">
        <v>79</v>
      </c>
      <c r="H2" s="124"/>
      <c r="I2" s="124"/>
      <c r="J2" s="124"/>
      <c r="K2" s="125"/>
      <c r="L2" s="123" t="s">
        <v>80</v>
      </c>
      <c r="M2" s="124"/>
      <c r="N2" s="124"/>
      <c r="O2" s="124"/>
      <c r="P2" s="125"/>
      <c r="Q2" s="118" t="s">
        <v>81</v>
      </c>
    </row>
    <row r="3" spans="1:23" ht="59.25" x14ac:dyDescent="0.25">
      <c r="A3" s="119"/>
      <c r="B3" s="46" t="s">
        <v>6</v>
      </c>
      <c r="C3" s="3" t="s">
        <v>7</v>
      </c>
      <c r="D3" s="3" t="s">
        <v>11</v>
      </c>
      <c r="E3" s="3" t="s">
        <v>12</v>
      </c>
      <c r="F3" s="3" t="s">
        <v>78</v>
      </c>
      <c r="G3" s="39" t="s">
        <v>6</v>
      </c>
      <c r="H3" s="3" t="s">
        <v>7</v>
      </c>
      <c r="I3" s="3" t="s">
        <v>11</v>
      </c>
      <c r="J3" s="3" t="s">
        <v>12</v>
      </c>
      <c r="K3" s="3" t="s">
        <v>78</v>
      </c>
      <c r="L3" s="39" t="s">
        <v>6</v>
      </c>
      <c r="M3" s="3" t="s">
        <v>7</v>
      </c>
      <c r="N3" s="3" t="s">
        <v>11</v>
      </c>
      <c r="O3" s="3" t="s">
        <v>12</v>
      </c>
      <c r="P3" s="3" t="s">
        <v>78</v>
      </c>
      <c r="Q3" s="119"/>
    </row>
    <row r="4" spans="1:23" x14ac:dyDescent="0.25">
      <c r="A4" s="4">
        <v>1</v>
      </c>
      <c r="B4" s="40">
        <v>2</v>
      </c>
      <c r="C4" s="4">
        <v>3</v>
      </c>
      <c r="D4" s="4">
        <v>4</v>
      </c>
      <c r="E4" s="4">
        <v>5</v>
      </c>
      <c r="F4" s="40">
        <v>6</v>
      </c>
      <c r="G4" s="4">
        <v>7</v>
      </c>
      <c r="H4" s="4">
        <v>8</v>
      </c>
      <c r="I4" s="4">
        <v>9</v>
      </c>
      <c r="J4" s="40">
        <v>10</v>
      </c>
      <c r="K4" s="4">
        <v>11</v>
      </c>
      <c r="L4" s="4">
        <v>12</v>
      </c>
      <c r="M4" s="4">
        <v>13</v>
      </c>
      <c r="N4" s="40">
        <v>14</v>
      </c>
      <c r="O4" s="4">
        <v>15</v>
      </c>
      <c r="P4" s="4">
        <v>16</v>
      </c>
      <c r="Q4" s="4">
        <v>17</v>
      </c>
    </row>
    <row r="5" spans="1:23" s="101" customFormat="1" ht="119.25" x14ac:dyDescent="0.25">
      <c r="A5" s="99" t="s">
        <v>88</v>
      </c>
      <c r="B5" s="105">
        <f>C5+D5+E5+F5</f>
        <v>268873.5</v>
      </c>
      <c r="C5" s="105">
        <f>C12+C19+C6</f>
        <v>138.30000000000001</v>
      </c>
      <c r="D5" s="105">
        <f>D12+D19+D6</f>
        <v>8062</v>
      </c>
      <c r="E5" s="105">
        <f>E12+E19+E6</f>
        <v>249373.19999999998</v>
      </c>
      <c r="F5" s="105">
        <f>F12+F19+F6</f>
        <v>11300</v>
      </c>
      <c r="G5" s="105">
        <f>H5+I5+J5+K5</f>
        <v>458654.60000000003</v>
      </c>
      <c r="H5" s="105">
        <f>H12+H19+H6</f>
        <v>138.30000000000001</v>
      </c>
      <c r="I5" s="105">
        <f>I12+I19+I6</f>
        <v>8062</v>
      </c>
      <c r="J5" s="105">
        <f>J12+J19+J6</f>
        <v>439674.9</v>
      </c>
      <c r="K5" s="105">
        <f>K12+K19+K6</f>
        <v>10779.400000000001</v>
      </c>
      <c r="L5" s="105">
        <f>M5+N5+O5+P5</f>
        <v>65458.9</v>
      </c>
      <c r="M5" s="105">
        <f>M12+M19+M6</f>
        <v>0</v>
      </c>
      <c r="N5" s="105">
        <f>N12+N19+N6</f>
        <v>839.3</v>
      </c>
      <c r="O5" s="105">
        <f>O12+O19+O6</f>
        <v>60631.199999999997</v>
      </c>
      <c r="P5" s="105">
        <f>P12+P19+P6</f>
        <v>3988.4</v>
      </c>
      <c r="Q5" s="100" t="s">
        <v>113</v>
      </c>
      <c r="R5" s="27">
        <f t="shared" ref="R5:R6" si="0">L5/G5*100</f>
        <v>14.271937968135498</v>
      </c>
      <c r="S5" s="27">
        <f>M5/H5*100</f>
        <v>0</v>
      </c>
      <c r="T5" s="27">
        <f t="shared" ref="T5:T6" si="1">N5/I5*100</f>
        <v>10.41056809724634</v>
      </c>
      <c r="U5" s="27">
        <f t="shared" ref="U5:V6" si="2">O5/J5*100</f>
        <v>13.790007116621847</v>
      </c>
      <c r="V5" s="27">
        <f t="shared" si="2"/>
        <v>37.000204092992185</v>
      </c>
    </row>
    <row r="6" spans="1:23" s="98" customFormat="1" ht="59.25" x14ac:dyDescent="0.25">
      <c r="A6" s="97" t="s">
        <v>89</v>
      </c>
      <c r="B6" s="106">
        <f>SUM(C6:F6)</f>
        <v>59298.3</v>
      </c>
      <c r="C6" s="106">
        <f>SUM(C7:C11)</f>
        <v>0</v>
      </c>
      <c r="D6" s="106">
        <f t="shared" ref="D6:F6" si="3">SUM(D7:D11)</f>
        <v>1028.8</v>
      </c>
      <c r="E6" s="106">
        <f t="shared" si="3"/>
        <v>49769.5</v>
      </c>
      <c r="F6" s="106">
        <f t="shared" si="3"/>
        <v>8500</v>
      </c>
      <c r="G6" s="106">
        <f>SUM(H6:K6)</f>
        <v>59332</v>
      </c>
      <c r="H6" s="106">
        <f t="shared" ref="H6:K6" si="4">SUM(H7:H11)</f>
        <v>0</v>
      </c>
      <c r="I6" s="106">
        <f t="shared" si="4"/>
        <v>1028.8</v>
      </c>
      <c r="J6" s="106">
        <f t="shared" si="4"/>
        <v>49769.5</v>
      </c>
      <c r="K6" s="106">
        <f t="shared" si="4"/>
        <v>8533.7000000000007</v>
      </c>
      <c r="L6" s="106">
        <f>SUM(M6:P6)</f>
        <v>12135.9</v>
      </c>
      <c r="M6" s="106">
        <f t="shared" ref="M6:P6" si="5">SUM(M7:M11)</f>
        <v>0</v>
      </c>
      <c r="N6" s="106">
        <f t="shared" si="5"/>
        <v>0</v>
      </c>
      <c r="O6" s="106">
        <f t="shared" si="5"/>
        <v>9015</v>
      </c>
      <c r="P6" s="106">
        <f t="shared" si="5"/>
        <v>3120.9</v>
      </c>
      <c r="Q6" s="112" t="s">
        <v>106</v>
      </c>
      <c r="R6" s="27">
        <f t="shared" si="0"/>
        <v>20.454223690420008</v>
      </c>
      <c r="S6" s="27" t="e">
        <f>M6/H6*100</f>
        <v>#DIV/0!</v>
      </c>
      <c r="T6" s="27">
        <f t="shared" si="1"/>
        <v>0</v>
      </c>
      <c r="U6" s="27">
        <f>O6/J6*100</f>
        <v>18.113503249982418</v>
      </c>
      <c r="V6" s="27">
        <f t="shared" si="2"/>
        <v>36.571475444414496</v>
      </c>
      <c r="W6" s="98">
        <f>O6/(J6+I6)*100</f>
        <v>17.746656876312787</v>
      </c>
    </row>
    <row r="7" spans="1:23" ht="284.25" x14ac:dyDescent="0.25">
      <c r="A7" s="95" t="s">
        <v>90</v>
      </c>
      <c r="B7" s="107">
        <f>C7+D7+E7+F7</f>
        <v>359.4</v>
      </c>
      <c r="C7" s="108">
        <v>0</v>
      </c>
      <c r="D7" s="108">
        <v>0</v>
      </c>
      <c r="E7" s="108">
        <v>359.4</v>
      </c>
      <c r="F7" s="108">
        <v>0</v>
      </c>
      <c r="G7" s="107">
        <f>H7+I7+J7+K7</f>
        <v>359.4</v>
      </c>
      <c r="H7" s="108">
        <v>0</v>
      </c>
      <c r="I7" s="108">
        <v>0</v>
      </c>
      <c r="J7" s="108">
        <v>359.4</v>
      </c>
      <c r="K7" s="108">
        <v>0</v>
      </c>
      <c r="L7" s="107">
        <f>M7+N7+O7+P7</f>
        <v>218.9</v>
      </c>
      <c r="M7" s="108">
        <v>0</v>
      </c>
      <c r="N7" s="108">
        <v>0</v>
      </c>
      <c r="O7" s="108">
        <v>218.9</v>
      </c>
      <c r="P7" s="108">
        <v>0</v>
      </c>
      <c r="Q7" s="81" t="s">
        <v>87</v>
      </c>
      <c r="R7" s="27">
        <f>L7/G7*100</f>
        <v>60.90706733444631</v>
      </c>
      <c r="S7" s="27" t="e">
        <f>M7/H7*100</f>
        <v>#DIV/0!</v>
      </c>
      <c r="T7" s="27" t="e">
        <f t="shared" ref="T7:V7" si="6">N7/I7*100</f>
        <v>#DIV/0!</v>
      </c>
      <c r="U7" s="27">
        <f t="shared" si="6"/>
        <v>60.90706733444631</v>
      </c>
      <c r="V7" s="27" t="e">
        <f t="shared" si="6"/>
        <v>#DIV/0!</v>
      </c>
    </row>
    <row r="8" spans="1:23" ht="194.25" x14ac:dyDescent="0.25">
      <c r="A8" s="95" t="s">
        <v>91</v>
      </c>
      <c r="B8" s="107">
        <f>C8+D8+E8+F8</f>
        <v>2180</v>
      </c>
      <c r="C8" s="108">
        <v>0</v>
      </c>
      <c r="D8" s="108">
        <v>0</v>
      </c>
      <c r="E8" s="108">
        <v>2180</v>
      </c>
      <c r="F8" s="108">
        <v>0</v>
      </c>
      <c r="G8" s="107">
        <f>H8+I8+J8+K8</f>
        <v>2180</v>
      </c>
      <c r="H8" s="108">
        <v>0</v>
      </c>
      <c r="I8" s="108">
        <v>0</v>
      </c>
      <c r="J8" s="108">
        <v>2180</v>
      </c>
      <c r="K8" s="108">
        <v>0</v>
      </c>
      <c r="L8" s="107">
        <f t="shared" ref="L8:L11" si="7">M8+N8+O8+P8</f>
        <v>946.7</v>
      </c>
      <c r="M8" s="108">
        <v>0</v>
      </c>
      <c r="N8" s="108">
        <v>0</v>
      </c>
      <c r="O8" s="108">
        <v>946.7</v>
      </c>
      <c r="P8" s="108">
        <v>0</v>
      </c>
      <c r="Q8" s="79" t="s">
        <v>107</v>
      </c>
      <c r="R8" s="27">
        <f t="shared" ref="R8:R20" si="8">L8/G8*100</f>
        <v>43.426605504587158</v>
      </c>
      <c r="S8" s="27" t="e">
        <f t="shared" ref="S8:S20" si="9">M8/H8*100</f>
        <v>#DIV/0!</v>
      </c>
      <c r="T8" s="27" t="e">
        <f t="shared" ref="T8:T20" si="10">N8/I8*100</f>
        <v>#DIV/0!</v>
      </c>
      <c r="U8" s="27">
        <f t="shared" ref="U8:V20" si="11">O8/J8*100</f>
        <v>43.426605504587158</v>
      </c>
      <c r="V8" s="27" t="e">
        <f t="shared" si="11"/>
        <v>#DIV/0!</v>
      </c>
    </row>
    <row r="9" spans="1:23" ht="163.5" x14ac:dyDescent="0.25">
      <c r="A9" s="95" t="s">
        <v>92</v>
      </c>
      <c r="B9" s="107">
        <f>C9+D9+E9+F9</f>
        <v>51082.5</v>
      </c>
      <c r="C9" s="108">
        <v>0</v>
      </c>
      <c r="D9" s="108">
        <v>0</v>
      </c>
      <c r="E9" s="108">
        <v>42582.5</v>
      </c>
      <c r="F9" s="108">
        <v>8500</v>
      </c>
      <c r="G9" s="107">
        <f>H9+I9+J9+K9</f>
        <v>51116.2</v>
      </c>
      <c r="H9" s="108">
        <v>0</v>
      </c>
      <c r="I9" s="108">
        <v>0</v>
      </c>
      <c r="J9" s="108">
        <v>42582.5</v>
      </c>
      <c r="K9" s="108">
        <v>8533.7000000000007</v>
      </c>
      <c r="L9" s="107">
        <f>M9+N9+O9+P9</f>
        <v>10623.4</v>
      </c>
      <c r="M9" s="108">
        <v>0</v>
      </c>
      <c r="N9" s="108">
        <v>0</v>
      </c>
      <c r="O9" s="108">
        <v>7502.5</v>
      </c>
      <c r="P9" s="109">
        <v>3120.9</v>
      </c>
      <c r="Q9" s="79" t="s">
        <v>85</v>
      </c>
      <c r="R9" s="27">
        <f>L9/G9*100</f>
        <v>20.782843795117792</v>
      </c>
      <c r="S9" s="27" t="e">
        <f t="shared" si="9"/>
        <v>#DIV/0!</v>
      </c>
      <c r="T9" s="27" t="e">
        <f t="shared" si="10"/>
        <v>#DIV/0!</v>
      </c>
      <c r="U9" s="27">
        <f>O9/J9*100</f>
        <v>17.618740092761112</v>
      </c>
      <c r="V9" s="27">
        <f>P9/K9*100</f>
        <v>36.571475444414496</v>
      </c>
    </row>
    <row r="10" spans="1:23" ht="149.25" x14ac:dyDescent="0.25">
      <c r="A10" s="95" t="s">
        <v>93</v>
      </c>
      <c r="B10" s="107">
        <f>C10+D10+E10+F10</f>
        <v>4593.3999999999996</v>
      </c>
      <c r="C10" s="108">
        <v>0</v>
      </c>
      <c r="D10" s="108">
        <v>0</v>
      </c>
      <c r="E10" s="108">
        <v>4593.3999999999996</v>
      </c>
      <c r="F10" s="108">
        <v>0</v>
      </c>
      <c r="G10" s="107">
        <f>H10+I10+J10+K10</f>
        <v>4593.3999999999996</v>
      </c>
      <c r="H10" s="108">
        <v>0</v>
      </c>
      <c r="I10" s="108">
        <v>0</v>
      </c>
      <c r="J10" s="108">
        <v>4593.3999999999996</v>
      </c>
      <c r="K10" s="108">
        <v>0</v>
      </c>
      <c r="L10" s="107">
        <f>M10+N10+O10+P10</f>
        <v>346.9</v>
      </c>
      <c r="M10" s="108">
        <v>0</v>
      </c>
      <c r="N10" s="108">
        <v>0</v>
      </c>
      <c r="O10" s="108">
        <v>346.9</v>
      </c>
      <c r="P10" s="108">
        <v>0</v>
      </c>
      <c r="Q10" s="114" t="s">
        <v>108</v>
      </c>
      <c r="R10" s="27">
        <f t="shared" si="8"/>
        <v>7.5521400269952537</v>
      </c>
      <c r="S10" s="27" t="e">
        <f t="shared" si="9"/>
        <v>#DIV/0!</v>
      </c>
      <c r="T10" s="27" t="e">
        <f t="shared" si="10"/>
        <v>#DIV/0!</v>
      </c>
      <c r="U10" s="27">
        <f t="shared" si="11"/>
        <v>7.5521400269952537</v>
      </c>
      <c r="V10" s="27" t="e">
        <f t="shared" si="11"/>
        <v>#DIV/0!</v>
      </c>
    </row>
    <row r="11" spans="1:23" ht="179.25" x14ac:dyDescent="0.25">
      <c r="A11" s="95" t="s">
        <v>94</v>
      </c>
      <c r="B11" s="107">
        <f t="shared" ref="B11" si="12">C11+D11+E11+F11</f>
        <v>1083</v>
      </c>
      <c r="C11" s="108">
        <v>0</v>
      </c>
      <c r="D11" s="108">
        <v>1028.8</v>
      </c>
      <c r="E11" s="108">
        <v>54.2</v>
      </c>
      <c r="F11" s="108">
        <v>0</v>
      </c>
      <c r="G11" s="107">
        <f>I11+J11+K11</f>
        <v>1083</v>
      </c>
      <c r="H11" s="108">
        <v>0</v>
      </c>
      <c r="I11" s="108">
        <v>1028.8</v>
      </c>
      <c r="J11" s="108">
        <v>54.2</v>
      </c>
      <c r="K11" s="108">
        <v>0</v>
      </c>
      <c r="L11" s="107">
        <f t="shared" si="7"/>
        <v>0</v>
      </c>
      <c r="M11" s="108">
        <v>0</v>
      </c>
      <c r="N11" s="108">
        <v>0</v>
      </c>
      <c r="O11" s="108">
        <v>0</v>
      </c>
      <c r="P11" s="108">
        <v>0</v>
      </c>
      <c r="Q11" s="89" t="s">
        <v>105</v>
      </c>
      <c r="R11" s="27">
        <f t="shared" si="8"/>
        <v>0</v>
      </c>
      <c r="S11" s="27" t="e">
        <f t="shared" si="9"/>
        <v>#DIV/0!</v>
      </c>
      <c r="T11" s="27">
        <f t="shared" si="10"/>
        <v>0</v>
      </c>
      <c r="U11" s="27">
        <f t="shared" si="11"/>
        <v>0</v>
      </c>
      <c r="V11" s="27" t="e">
        <f t="shared" si="11"/>
        <v>#DIV/0!</v>
      </c>
    </row>
    <row r="12" spans="1:23" s="103" customFormat="1" ht="119.25" x14ac:dyDescent="0.25">
      <c r="A12" s="97" t="s">
        <v>95</v>
      </c>
      <c r="B12" s="110">
        <f>C12+D12+E12+F12</f>
        <v>209575.19999999998</v>
      </c>
      <c r="C12" s="110">
        <f>SUM(C13:C18)</f>
        <v>138.30000000000001</v>
      </c>
      <c r="D12" s="110">
        <f>SUM(D13:D18)</f>
        <v>7033.2</v>
      </c>
      <c r="E12" s="110">
        <f>SUM(E13:E18)</f>
        <v>199603.69999999998</v>
      </c>
      <c r="F12" s="110">
        <f>SUM(F13:F18)</f>
        <v>2800</v>
      </c>
      <c r="G12" s="110">
        <f>H12+I12+J12+K12</f>
        <v>399322.60000000003</v>
      </c>
      <c r="H12" s="110">
        <f>SUM(H13:H18)</f>
        <v>138.30000000000001</v>
      </c>
      <c r="I12" s="110">
        <f>SUM(I13:I18)</f>
        <v>7033.2</v>
      </c>
      <c r="J12" s="110">
        <f>SUM(J13:J18)</f>
        <v>389905.4</v>
      </c>
      <c r="K12" s="110">
        <f>SUM(K13:K18)</f>
        <v>2245.6999999999998</v>
      </c>
      <c r="L12" s="110">
        <f>M12+N12+O12+P12</f>
        <v>53323</v>
      </c>
      <c r="M12" s="110">
        <f>SUM(M13:M18)</f>
        <v>0</v>
      </c>
      <c r="N12" s="110">
        <f>SUM(N13:N18)</f>
        <v>839.3</v>
      </c>
      <c r="O12" s="110">
        <f>SUM(O13:O18)</f>
        <v>51616.2</v>
      </c>
      <c r="P12" s="110">
        <f>SUM(P13:P18)</f>
        <v>867.5</v>
      </c>
      <c r="Q12" s="104" t="s">
        <v>112</v>
      </c>
      <c r="R12" s="27">
        <f t="shared" si="8"/>
        <v>13.35336392180157</v>
      </c>
      <c r="S12" s="27">
        <f t="shared" si="9"/>
        <v>0</v>
      </c>
      <c r="T12" s="27">
        <f t="shared" si="10"/>
        <v>11.933401581072626</v>
      </c>
      <c r="U12" s="27">
        <f t="shared" si="11"/>
        <v>13.238134173058386</v>
      </c>
      <c r="V12" s="27">
        <f t="shared" si="11"/>
        <v>38.629380594024134</v>
      </c>
    </row>
    <row r="13" spans="1:23" ht="225" x14ac:dyDescent="0.25">
      <c r="A13" s="95" t="s">
        <v>96</v>
      </c>
      <c r="B13" s="107">
        <f>C13+D13+E13</f>
        <v>323.5</v>
      </c>
      <c r="C13" s="108">
        <v>138.30000000000001</v>
      </c>
      <c r="D13" s="108">
        <v>169</v>
      </c>
      <c r="E13" s="108">
        <v>16.2</v>
      </c>
      <c r="F13" s="108">
        <v>0</v>
      </c>
      <c r="G13" s="107">
        <f>H13+I13+J13+K13</f>
        <v>323.5</v>
      </c>
      <c r="H13" s="108">
        <v>138.30000000000001</v>
      </c>
      <c r="I13" s="108">
        <v>169</v>
      </c>
      <c r="J13" s="108">
        <v>16.2</v>
      </c>
      <c r="K13" s="108">
        <v>0</v>
      </c>
      <c r="L13" s="107">
        <f>M13+N13+O13+P13</f>
        <v>0</v>
      </c>
      <c r="M13" s="108">
        <v>0</v>
      </c>
      <c r="N13" s="108">
        <v>0</v>
      </c>
      <c r="O13" s="108">
        <v>0</v>
      </c>
      <c r="P13" s="108">
        <v>0</v>
      </c>
      <c r="Q13" s="33" t="s">
        <v>109</v>
      </c>
      <c r="R13" s="27">
        <f t="shared" si="8"/>
        <v>0</v>
      </c>
      <c r="S13" s="27">
        <f t="shared" si="9"/>
        <v>0</v>
      </c>
      <c r="T13" s="27">
        <f t="shared" si="10"/>
        <v>0</v>
      </c>
      <c r="U13" s="27">
        <f t="shared" si="11"/>
        <v>0</v>
      </c>
      <c r="V13" s="27" t="e">
        <f t="shared" si="11"/>
        <v>#DIV/0!</v>
      </c>
    </row>
    <row r="14" spans="1:23" s="25" customFormat="1" ht="269.25" x14ac:dyDescent="0.25">
      <c r="A14" s="96" t="s">
        <v>97</v>
      </c>
      <c r="B14" s="107">
        <f>C14+D14+E14</f>
        <v>4991.3999999999996</v>
      </c>
      <c r="C14" s="111">
        <v>0</v>
      </c>
      <c r="D14" s="111">
        <v>0</v>
      </c>
      <c r="E14" s="111">
        <v>4991.3999999999996</v>
      </c>
      <c r="F14" s="111">
        <v>0</v>
      </c>
      <c r="G14" s="107">
        <f>J14+K14+I14</f>
        <v>4991.3999999999996</v>
      </c>
      <c r="H14" s="111">
        <v>0</v>
      </c>
      <c r="I14" s="111">
        <v>0</v>
      </c>
      <c r="J14" s="111">
        <v>4991.3999999999996</v>
      </c>
      <c r="K14" s="111">
        <v>0</v>
      </c>
      <c r="L14" s="107">
        <f>M14+N14+O14+P14</f>
        <v>1984.5</v>
      </c>
      <c r="M14" s="108">
        <v>0</v>
      </c>
      <c r="N14" s="108">
        <v>0</v>
      </c>
      <c r="O14" s="108">
        <v>1984.5</v>
      </c>
      <c r="P14" s="108">
        <v>0</v>
      </c>
      <c r="Q14" s="113" t="s">
        <v>104</v>
      </c>
      <c r="R14" s="27">
        <f t="shared" si="8"/>
        <v>39.758384421204475</v>
      </c>
      <c r="S14" s="27" t="e">
        <f t="shared" si="9"/>
        <v>#DIV/0!</v>
      </c>
      <c r="T14" s="27" t="e">
        <f t="shared" si="10"/>
        <v>#DIV/0!</v>
      </c>
      <c r="U14" s="27">
        <f t="shared" si="11"/>
        <v>39.758384421204475</v>
      </c>
      <c r="V14" s="27" t="e">
        <f t="shared" si="11"/>
        <v>#DIV/0!</v>
      </c>
    </row>
    <row r="15" spans="1:23" s="25" customFormat="1" ht="178.5" x14ac:dyDescent="0.25">
      <c r="A15" s="96" t="s">
        <v>98</v>
      </c>
      <c r="B15" s="107">
        <f>E15+F15+D15</f>
        <v>170233.5</v>
      </c>
      <c r="C15" s="108">
        <v>0</v>
      </c>
      <c r="D15" s="108">
        <v>0</v>
      </c>
      <c r="E15" s="108">
        <v>167433.5</v>
      </c>
      <c r="F15" s="108">
        <v>2800</v>
      </c>
      <c r="G15" s="107">
        <f>H15+I15+J15+K15</f>
        <v>171656.2</v>
      </c>
      <c r="H15" s="108">
        <v>0</v>
      </c>
      <c r="I15" s="108">
        <v>0</v>
      </c>
      <c r="J15" s="108">
        <v>169410.5</v>
      </c>
      <c r="K15" s="108">
        <v>2245.6999999999998</v>
      </c>
      <c r="L15" s="107">
        <f>M15+N15+O15+P15</f>
        <v>39851.5</v>
      </c>
      <c r="M15" s="108">
        <v>0</v>
      </c>
      <c r="N15" s="108">
        <v>0</v>
      </c>
      <c r="O15" s="108">
        <v>38984</v>
      </c>
      <c r="P15" s="108">
        <v>867.5</v>
      </c>
      <c r="Q15" s="89" t="s">
        <v>110</v>
      </c>
      <c r="R15" s="27">
        <f t="shared" si="8"/>
        <v>23.21588151199898</v>
      </c>
      <c r="S15" s="27">
        <v>0</v>
      </c>
      <c r="T15" s="27" t="e">
        <f t="shared" si="10"/>
        <v>#DIV/0!</v>
      </c>
      <c r="U15" s="27">
        <f t="shared" si="11"/>
        <v>23.011560676581439</v>
      </c>
      <c r="V15" s="27">
        <f t="shared" si="11"/>
        <v>38.629380594024134</v>
      </c>
    </row>
    <row r="16" spans="1:23" s="25" customFormat="1" ht="105" x14ac:dyDescent="0.25">
      <c r="A16" s="96" t="s">
        <v>99</v>
      </c>
      <c r="B16" s="107">
        <f>E16+F16+D16</f>
        <v>15446.3</v>
      </c>
      <c r="C16" s="108">
        <v>0</v>
      </c>
      <c r="D16" s="108">
        <v>0</v>
      </c>
      <c r="E16" s="108">
        <v>15446.3</v>
      </c>
      <c r="F16" s="108">
        <v>0</v>
      </c>
      <c r="G16" s="107">
        <f>J16+K16+I16</f>
        <v>15446.3</v>
      </c>
      <c r="H16" s="108">
        <v>0</v>
      </c>
      <c r="I16" s="108">
        <v>0</v>
      </c>
      <c r="J16" s="108">
        <v>15446.3</v>
      </c>
      <c r="K16" s="108">
        <v>0</v>
      </c>
      <c r="L16" s="107">
        <f t="shared" ref="L16:L17" si="13">M16+N16+O16+P16</f>
        <v>2621.7</v>
      </c>
      <c r="M16" s="108">
        <v>0</v>
      </c>
      <c r="N16" s="108">
        <v>0</v>
      </c>
      <c r="O16" s="108">
        <v>2621.7</v>
      </c>
      <c r="P16" s="108">
        <v>0</v>
      </c>
      <c r="Q16" s="114" t="s">
        <v>86</v>
      </c>
      <c r="R16" s="27">
        <f t="shared" si="8"/>
        <v>16.972996769452877</v>
      </c>
      <c r="S16" s="27" t="e">
        <f t="shared" si="9"/>
        <v>#DIV/0!</v>
      </c>
      <c r="T16" s="27" t="e">
        <f t="shared" si="10"/>
        <v>#DIV/0!</v>
      </c>
      <c r="U16" s="27">
        <f t="shared" si="11"/>
        <v>16.972996769452877</v>
      </c>
      <c r="V16" s="27" t="e">
        <f t="shared" si="11"/>
        <v>#DIV/0!</v>
      </c>
    </row>
    <row r="17" spans="1:22" s="25" customFormat="1" ht="330" x14ac:dyDescent="0.25">
      <c r="A17" s="96" t="s">
        <v>100</v>
      </c>
      <c r="B17" s="107">
        <f>E17+F17+D17</f>
        <v>7225.5</v>
      </c>
      <c r="C17" s="108">
        <v>0</v>
      </c>
      <c r="D17" s="108">
        <v>6864.2</v>
      </c>
      <c r="E17" s="108">
        <v>361.3</v>
      </c>
      <c r="F17" s="108">
        <v>0</v>
      </c>
      <c r="G17" s="107">
        <f>J17+K17+I17</f>
        <v>7225.5</v>
      </c>
      <c r="H17" s="108">
        <v>0</v>
      </c>
      <c r="I17" s="108">
        <v>6864.2</v>
      </c>
      <c r="J17" s="108">
        <v>361.3</v>
      </c>
      <c r="K17" s="108">
        <v>0</v>
      </c>
      <c r="L17" s="107">
        <f t="shared" si="13"/>
        <v>883.5</v>
      </c>
      <c r="M17" s="108">
        <v>0</v>
      </c>
      <c r="N17" s="108">
        <v>839.3</v>
      </c>
      <c r="O17" s="108">
        <v>44.2</v>
      </c>
      <c r="P17" s="108">
        <v>0</v>
      </c>
      <c r="Q17" s="89" t="s">
        <v>111</v>
      </c>
      <c r="R17" s="27">
        <f t="shared" si="8"/>
        <v>12.227527506746938</v>
      </c>
      <c r="S17" s="27" t="e">
        <f t="shared" si="9"/>
        <v>#DIV/0!</v>
      </c>
      <c r="T17" s="27">
        <f t="shared" si="10"/>
        <v>12.227207831939628</v>
      </c>
      <c r="U17" s="27">
        <f t="shared" si="11"/>
        <v>12.233600885690562</v>
      </c>
      <c r="V17" s="27" t="e">
        <f t="shared" si="11"/>
        <v>#DIV/0!</v>
      </c>
    </row>
    <row r="18" spans="1:22" s="25" customFormat="1" ht="254.25" x14ac:dyDescent="0.25">
      <c r="A18" s="96" t="s">
        <v>101</v>
      </c>
      <c r="B18" s="107">
        <f t="shared" ref="B18" si="14">E18+F18+D18</f>
        <v>11355</v>
      </c>
      <c r="C18" s="108">
        <v>0</v>
      </c>
      <c r="D18" s="108">
        <v>0</v>
      </c>
      <c r="E18" s="108">
        <v>11355</v>
      </c>
      <c r="F18" s="108">
        <v>0</v>
      </c>
      <c r="G18" s="107">
        <f>J18+K18+I18</f>
        <v>199679.7</v>
      </c>
      <c r="H18" s="108">
        <v>0</v>
      </c>
      <c r="I18" s="108">
        <v>0</v>
      </c>
      <c r="J18" s="108">
        <v>199679.7</v>
      </c>
      <c r="K18" s="108">
        <v>0</v>
      </c>
      <c r="L18" s="107">
        <f t="shared" ref="L18" si="15">O18+P18+N18</f>
        <v>7981.8</v>
      </c>
      <c r="M18" s="108">
        <v>0</v>
      </c>
      <c r="N18" s="108">
        <v>0</v>
      </c>
      <c r="O18" s="108">
        <v>7981.8</v>
      </c>
      <c r="P18" s="108">
        <v>0</v>
      </c>
      <c r="Q18" s="89" t="s">
        <v>114</v>
      </c>
      <c r="R18" s="27">
        <f t="shared" si="8"/>
        <v>3.9973016786383391</v>
      </c>
      <c r="S18" s="27" t="e">
        <f t="shared" si="9"/>
        <v>#DIV/0!</v>
      </c>
      <c r="T18" s="27" t="e">
        <f t="shared" si="10"/>
        <v>#DIV/0!</v>
      </c>
      <c r="U18" s="27">
        <f t="shared" si="11"/>
        <v>3.9973016786383391</v>
      </c>
      <c r="V18" s="27" t="e">
        <f t="shared" si="11"/>
        <v>#DIV/0!</v>
      </c>
    </row>
    <row r="19" spans="1:22" s="103" customFormat="1" ht="71.25" x14ac:dyDescent="0.25">
      <c r="A19" s="97" t="s">
        <v>102</v>
      </c>
      <c r="B19" s="110">
        <v>0</v>
      </c>
      <c r="C19" s="110">
        <v>0</v>
      </c>
      <c r="D19" s="110">
        <v>0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110">
        <v>0</v>
      </c>
      <c r="K19" s="110">
        <v>0</v>
      </c>
      <c r="L19" s="110">
        <v>0</v>
      </c>
      <c r="M19" s="110">
        <v>0</v>
      </c>
      <c r="N19" s="110">
        <v>0</v>
      </c>
      <c r="O19" s="110">
        <v>0</v>
      </c>
      <c r="P19" s="110">
        <v>0</v>
      </c>
      <c r="Q19" s="102"/>
      <c r="R19" s="27" t="e">
        <f t="shared" si="8"/>
        <v>#DIV/0!</v>
      </c>
      <c r="S19" s="27" t="e">
        <f t="shared" si="9"/>
        <v>#DIV/0!</v>
      </c>
      <c r="T19" s="27" t="e">
        <f t="shared" si="10"/>
        <v>#DIV/0!</v>
      </c>
      <c r="U19" s="27" t="e">
        <f t="shared" si="11"/>
        <v>#DIV/0!</v>
      </c>
      <c r="V19" s="27" t="e">
        <f t="shared" si="11"/>
        <v>#DIV/0!</v>
      </c>
    </row>
    <row r="20" spans="1:22" s="25" customFormat="1" ht="120" x14ac:dyDescent="0.25">
      <c r="A20" s="95" t="s">
        <v>103</v>
      </c>
      <c r="B20" s="107">
        <f>E20</f>
        <v>0</v>
      </c>
      <c r="C20" s="108">
        <v>0</v>
      </c>
      <c r="D20" s="108">
        <v>0</v>
      </c>
      <c r="E20" s="108">
        <v>0</v>
      </c>
      <c r="F20" s="108">
        <v>0</v>
      </c>
      <c r="G20" s="107">
        <f>H20+I20+J20+K20</f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75"/>
      <c r="R20" s="27" t="e">
        <f t="shared" si="8"/>
        <v>#DIV/0!</v>
      </c>
      <c r="S20" s="27" t="e">
        <f t="shared" si="9"/>
        <v>#DIV/0!</v>
      </c>
      <c r="T20" s="27" t="e">
        <f t="shared" si="10"/>
        <v>#DIV/0!</v>
      </c>
      <c r="U20" s="27" t="e">
        <f t="shared" si="11"/>
        <v>#DIV/0!</v>
      </c>
      <c r="V20" s="27" t="e">
        <f t="shared" si="11"/>
        <v>#DIV/0!</v>
      </c>
    </row>
    <row r="21" spans="1:22" ht="15.75" x14ac:dyDescent="0.25">
      <c r="A21" s="6"/>
      <c r="B21" s="38"/>
      <c r="C21" s="7"/>
      <c r="D21" s="7"/>
      <c r="E21" s="7"/>
      <c r="F21" s="7"/>
      <c r="G21" s="38"/>
      <c r="H21" s="56">
        <f>H5+I5+J5</f>
        <v>447875.2</v>
      </c>
      <c r="I21" s="56"/>
      <c r="J21" s="56"/>
      <c r="K21" s="7"/>
      <c r="L21" s="57"/>
      <c r="M21" s="56"/>
      <c r="N21" s="56">
        <f>M5+N5+O5</f>
        <v>61470.5</v>
      </c>
      <c r="O21" s="56"/>
      <c r="P21" s="56"/>
      <c r="Q21" s="9"/>
      <c r="S21" s="28"/>
      <c r="T21" s="29"/>
    </row>
    <row r="22" spans="1:22" ht="15.75" x14ac:dyDescent="0.25">
      <c r="A22" s="94" t="s">
        <v>84</v>
      </c>
      <c r="B22" s="65"/>
      <c r="C22" s="65"/>
      <c r="D22" s="65"/>
      <c r="E22" s="65"/>
      <c r="F22" s="66"/>
      <c r="G22" s="66"/>
      <c r="H22" s="67"/>
      <c r="I22" s="68"/>
      <c r="J22" s="69"/>
      <c r="K22" s="70"/>
      <c r="L22" s="64"/>
      <c r="M22" s="58"/>
      <c r="N22" s="56"/>
      <c r="O22" s="56">
        <f>N21/H21*100</f>
        <v>13.724917119769078</v>
      </c>
      <c r="P22" s="58"/>
      <c r="Q22" s="54"/>
      <c r="S22" s="29"/>
      <c r="T22" s="29"/>
    </row>
    <row r="23" spans="1:22" ht="15.75" x14ac:dyDescent="0.25">
      <c r="A23" s="8"/>
      <c r="B23" s="115"/>
      <c r="C23" s="115"/>
      <c r="D23" s="71"/>
      <c r="E23" s="71"/>
      <c r="F23" s="115"/>
      <c r="G23" s="115"/>
      <c r="H23" s="66"/>
      <c r="I23" s="66"/>
      <c r="J23" s="66"/>
      <c r="K23" s="66"/>
      <c r="L23" s="59"/>
      <c r="M23" s="58"/>
      <c r="N23" s="56"/>
      <c r="O23" s="56" t="s">
        <v>22</v>
      </c>
      <c r="P23" s="58"/>
      <c r="Q23" s="11"/>
    </row>
    <row r="24" spans="1:22" x14ac:dyDescent="0.25">
      <c r="I24" s="41"/>
      <c r="J24" s="41"/>
      <c r="L24" s="41"/>
      <c r="M24" s="9"/>
      <c r="N24" s="9"/>
      <c r="O24" s="48"/>
      <c r="P24" s="9"/>
      <c r="Q24" s="55"/>
    </row>
    <row r="25" spans="1:22" x14ac:dyDescent="0.25">
      <c r="L25" s="22"/>
      <c r="M25" s="23"/>
      <c r="N25" s="23"/>
      <c r="O25" s="1" t="s">
        <v>22</v>
      </c>
    </row>
    <row r="26" spans="1:22" x14ac:dyDescent="0.25">
      <c r="L26" s="42"/>
      <c r="M26" s="23"/>
      <c r="N26" s="23"/>
      <c r="O26" s="2"/>
    </row>
    <row r="27" spans="1:22" x14ac:dyDescent="0.25">
      <c r="D27" s="48"/>
      <c r="H27" s="41"/>
      <c r="I27" s="41"/>
      <c r="J27" s="41"/>
      <c r="K27" s="41"/>
      <c r="M27" s="35"/>
      <c r="N27" s="35"/>
    </row>
    <row r="28" spans="1:22" x14ac:dyDescent="0.25">
      <c r="G28" s="22"/>
      <c r="H28" s="22"/>
      <c r="I28" s="22"/>
      <c r="J28" s="22"/>
      <c r="K28" s="22"/>
      <c r="L28" s="36"/>
      <c r="M28" s="22"/>
      <c r="N28" s="22"/>
      <c r="O28" s="23"/>
    </row>
    <row r="29" spans="1:22" x14ac:dyDescent="0.25">
      <c r="G29" s="43">
        <f>G5-338450</f>
        <v>120204.60000000003</v>
      </c>
      <c r="H29" s="22"/>
      <c r="I29" s="22"/>
      <c r="J29" s="22"/>
      <c r="K29" s="22"/>
      <c r="L29" s="43">
        <f>L5-65381.1</f>
        <v>77.80000000000291</v>
      </c>
      <c r="M29" s="22"/>
      <c r="N29" s="22"/>
      <c r="O29" s="23"/>
    </row>
    <row r="30" spans="1:22" x14ac:dyDescent="0.25">
      <c r="G30" s="22"/>
      <c r="H30" s="22"/>
      <c r="I30" s="22"/>
      <c r="J30" s="22"/>
      <c r="K30" s="22"/>
      <c r="L30" s="22"/>
      <c r="M30" s="22"/>
      <c r="N30" s="22"/>
      <c r="O30" s="23"/>
    </row>
    <row r="31" spans="1:22" ht="18.75" x14ac:dyDescent="0.3">
      <c r="G31" s="44"/>
      <c r="H31" s="44"/>
      <c r="I31" s="44"/>
      <c r="J31" s="44"/>
      <c r="K31" s="44"/>
      <c r="L31" s="44"/>
      <c r="M31" s="44"/>
      <c r="N31" s="44"/>
      <c r="O31" s="44"/>
      <c r="P31" s="45"/>
      <c r="Q31" s="37"/>
    </row>
    <row r="32" spans="1:22" x14ac:dyDescent="0.25">
      <c r="A32" s="1"/>
      <c r="B32" s="1"/>
      <c r="C32" s="1"/>
      <c r="D32" s="1"/>
      <c r="E32" s="1"/>
      <c r="F32" s="1"/>
      <c r="G32" s="22"/>
      <c r="H32" s="36"/>
      <c r="I32" s="22"/>
      <c r="J32" s="22"/>
      <c r="K32" s="22"/>
      <c r="L32" s="22">
        <f>L29/G29*100</f>
        <v>6.4722980651325229E-2</v>
      </c>
      <c r="M32" s="22" t="s">
        <v>57</v>
      </c>
      <c r="N32" s="22"/>
      <c r="O32" s="23"/>
      <c r="P32" s="23"/>
      <c r="Q32" s="37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22"/>
      <c r="H33" s="22"/>
      <c r="I33" s="43"/>
      <c r="J33" s="22"/>
      <c r="K33" s="22"/>
      <c r="L33" s="22"/>
      <c r="M33" s="22"/>
      <c r="N33" s="43"/>
      <c r="O33" s="43"/>
      <c r="P33" s="23"/>
      <c r="Q33" s="37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22"/>
      <c r="H34" s="22"/>
      <c r="I34" s="22"/>
      <c r="J34" s="22"/>
      <c r="K34" s="22"/>
      <c r="L34" s="22"/>
      <c r="M34" s="22"/>
      <c r="N34" s="22"/>
      <c r="O34" s="49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22"/>
      <c r="H35" s="22"/>
      <c r="I35" s="22"/>
      <c r="J35" s="22"/>
      <c r="K35" s="22"/>
      <c r="L35" s="22"/>
      <c r="M35" s="22"/>
      <c r="N35" s="22"/>
      <c r="O35" s="23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22"/>
      <c r="H36" s="23"/>
      <c r="I36" s="23"/>
      <c r="J36" s="23"/>
      <c r="K36" s="23"/>
      <c r="L36" s="22"/>
      <c r="M36" s="23"/>
      <c r="N36" s="23"/>
      <c r="O36" s="23"/>
      <c r="R36" s="1"/>
      <c r="S36" s="1"/>
      <c r="T36" s="1"/>
    </row>
  </sheetData>
  <mergeCells count="8">
    <mergeCell ref="B23:C23"/>
    <mergeCell ref="F23:G23"/>
    <mergeCell ref="A1:Q1"/>
    <mergeCell ref="A2:A3"/>
    <mergeCell ref="B2:F2"/>
    <mergeCell ref="G2:K2"/>
    <mergeCell ref="L2:P2"/>
    <mergeCell ref="Q2:Q3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8"/>
  <sheetViews>
    <sheetView view="pageBreakPreview" topLeftCell="C1" zoomScale="55" zoomScaleNormal="82" zoomScaleSheetLayoutView="55" workbookViewId="0">
      <selection activeCell="H10" sqref="H10"/>
    </sheetView>
  </sheetViews>
  <sheetFormatPr defaultColWidth="9.140625" defaultRowHeight="15" x14ac:dyDescent="0.25"/>
  <cols>
    <col min="1" max="1" width="11.5703125" style="9" bestFit="1" customWidth="1"/>
    <col min="2" max="2" width="37.140625" style="9" customWidth="1"/>
    <col min="3" max="3" width="11.28515625" style="41" customWidth="1"/>
    <col min="4" max="4" width="9.140625" style="9" customWidth="1"/>
    <col min="5" max="5" width="10.42578125" style="9" customWidth="1"/>
    <col min="6" max="6" width="10.85546875" style="9" customWidth="1"/>
    <col min="7" max="7" width="9.140625" style="9" customWidth="1"/>
    <col min="8" max="8" width="13.5703125" style="41" customWidth="1"/>
    <col min="9" max="9" width="10.42578125" style="9" bestFit="1" customWidth="1"/>
    <col min="10" max="10" width="9.140625" style="9"/>
    <col min="11" max="11" width="11.28515625" style="9" customWidth="1"/>
    <col min="12" max="12" width="9.140625" style="9"/>
    <col min="13" max="13" width="13.42578125" style="35" customWidth="1"/>
    <col min="14" max="14" width="9.140625" style="1"/>
    <col min="15" max="15" width="10.7109375" style="1" bestFit="1" customWidth="1"/>
    <col min="16" max="16" width="11.7109375" style="1" customWidth="1"/>
    <col min="17" max="17" width="12.28515625" style="1" customWidth="1"/>
    <col min="18" max="18" width="101.7109375" style="12" customWidth="1"/>
    <col min="19" max="19" width="10.42578125" style="1" hidden="1" customWidth="1"/>
    <col min="20" max="20" width="12.5703125" style="1" hidden="1" customWidth="1"/>
    <col min="21" max="21" width="13.5703125" style="1" hidden="1" customWidth="1"/>
    <col min="22" max="22" width="9.7109375" style="1" hidden="1" customWidth="1"/>
    <col min="23" max="25" width="9.140625" style="1" hidden="1" customWidth="1"/>
    <col min="26" max="26" width="0" style="1" hidden="1" customWidth="1"/>
    <col min="27" max="27" width="6.42578125" style="27" customWidth="1"/>
    <col min="28" max="28" width="9.140625" style="27"/>
    <col min="29" max="29" width="9.140625" style="25"/>
    <col min="30" max="30" width="15.5703125" style="25" customWidth="1"/>
    <col min="31" max="16384" width="9.140625" style="1"/>
  </cols>
  <sheetData>
    <row r="1" spans="1:30" ht="48.75" customHeight="1" x14ac:dyDescent="0.25">
      <c r="A1" s="116" t="s">
        <v>64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30" x14ac:dyDescent="0.25">
      <c r="A2" s="127" t="s">
        <v>0</v>
      </c>
      <c r="B2" s="118" t="s">
        <v>1</v>
      </c>
      <c r="C2" s="123" t="s">
        <v>2</v>
      </c>
      <c r="D2" s="121"/>
      <c r="E2" s="121"/>
      <c r="F2" s="121"/>
      <c r="G2" s="122"/>
      <c r="H2" s="123" t="s">
        <v>3</v>
      </c>
      <c r="I2" s="124"/>
      <c r="J2" s="124"/>
      <c r="K2" s="124"/>
      <c r="L2" s="125"/>
      <c r="M2" s="123" t="s">
        <v>4</v>
      </c>
      <c r="N2" s="124"/>
      <c r="O2" s="124"/>
      <c r="P2" s="124"/>
      <c r="Q2" s="125"/>
      <c r="R2" s="118" t="s">
        <v>5</v>
      </c>
    </row>
    <row r="3" spans="1:30" ht="59.25" x14ac:dyDescent="0.25">
      <c r="A3" s="128"/>
      <c r="B3" s="119"/>
      <c r="C3" s="46" t="s">
        <v>6</v>
      </c>
      <c r="D3" s="3" t="s">
        <v>7</v>
      </c>
      <c r="E3" s="3" t="s">
        <v>11</v>
      </c>
      <c r="F3" s="3" t="s">
        <v>12</v>
      </c>
      <c r="G3" s="3" t="s">
        <v>13</v>
      </c>
      <c r="H3" s="39" t="s">
        <v>6</v>
      </c>
      <c r="I3" s="3" t="s">
        <v>7</v>
      </c>
      <c r="J3" s="3" t="s">
        <v>11</v>
      </c>
      <c r="K3" s="3" t="s">
        <v>12</v>
      </c>
      <c r="L3" s="3" t="s">
        <v>13</v>
      </c>
      <c r="M3" s="39" t="s">
        <v>6</v>
      </c>
      <c r="N3" s="3" t="s">
        <v>7</v>
      </c>
      <c r="O3" s="3" t="s">
        <v>11</v>
      </c>
      <c r="P3" s="3" t="s">
        <v>12</v>
      </c>
      <c r="Q3" s="3" t="s">
        <v>13</v>
      </c>
      <c r="R3" s="119"/>
      <c r="S3" s="13" t="s">
        <v>19</v>
      </c>
      <c r="T3" s="13" t="s">
        <v>20</v>
      </c>
      <c r="U3" s="13" t="s">
        <v>21</v>
      </c>
    </row>
    <row r="4" spans="1:30" x14ac:dyDescent="0.25">
      <c r="A4" s="4">
        <v>1</v>
      </c>
      <c r="B4" s="4">
        <v>2</v>
      </c>
      <c r="C4" s="40">
        <v>3</v>
      </c>
      <c r="D4" s="4">
        <v>4</v>
      </c>
      <c r="E4" s="4">
        <v>5</v>
      </c>
      <c r="F4" s="4">
        <v>6</v>
      </c>
      <c r="G4" s="4">
        <v>7</v>
      </c>
      <c r="H4" s="40">
        <v>8</v>
      </c>
      <c r="I4" s="4">
        <v>9</v>
      </c>
      <c r="J4" s="4">
        <v>10</v>
      </c>
      <c r="K4" s="4">
        <v>11</v>
      </c>
      <c r="L4" s="4">
        <v>12</v>
      </c>
      <c r="M4" s="40">
        <v>13</v>
      </c>
      <c r="N4" s="4">
        <v>14</v>
      </c>
      <c r="O4" s="4">
        <v>15</v>
      </c>
      <c r="P4" s="4">
        <v>16</v>
      </c>
      <c r="Q4" s="4">
        <v>17</v>
      </c>
      <c r="R4" s="4">
        <v>18</v>
      </c>
    </row>
    <row r="5" spans="1:30" s="20" customFormat="1" ht="24.75" customHeight="1" x14ac:dyDescent="0.25">
      <c r="A5" s="21"/>
      <c r="B5" s="129" t="s">
        <v>45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1"/>
      <c r="R5" s="19"/>
      <c r="AA5" s="91"/>
      <c r="AB5" s="91"/>
      <c r="AC5" s="26"/>
      <c r="AD5" s="26"/>
    </row>
    <row r="6" spans="1:30" ht="30" x14ac:dyDescent="0.25">
      <c r="A6" s="34" t="s">
        <v>30</v>
      </c>
      <c r="B6" s="30" t="s">
        <v>34</v>
      </c>
      <c r="C6" s="31"/>
      <c r="D6" s="24"/>
      <c r="E6" s="24"/>
      <c r="F6" s="24"/>
      <c r="G6" s="24"/>
      <c r="H6" s="31"/>
      <c r="I6" s="24"/>
      <c r="J6" s="24"/>
      <c r="K6" s="24"/>
      <c r="L6" s="24"/>
      <c r="M6" s="31"/>
      <c r="N6" s="24"/>
      <c r="O6" s="24"/>
      <c r="P6" s="24"/>
      <c r="Q6" s="24"/>
      <c r="R6" s="33"/>
    </row>
    <row r="7" spans="1:30" ht="239.25" x14ac:dyDescent="0.25">
      <c r="A7" s="34" t="s">
        <v>53</v>
      </c>
      <c r="B7" s="30" t="s">
        <v>27</v>
      </c>
      <c r="C7" s="31">
        <f>D7+E7+F7+G7</f>
        <v>359.4</v>
      </c>
      <c r="D7" s="24">
        <v>0</v>
      </c>
      <c r="E7" s="24">
        <v>0</v>
      </c>
      <c r="F7" s="24">
        <v>359.4</v>
      </c>
      <c r="G7" s="24">
        <v>0</v>
      </c>
      <c r="H7" s="31">
        <f>I7+J7+K7+L7</f>
        <v>359.4</v>
      </c>
      <c r="I7" s="24">
        <v>0</v>
      </c>
      <c r="J7" s="24">
        <v>0</v>
      </c>
      <c r="K7" s="24">
        <v>359.4</v>
      </c>
      <c r="L7" s="24">
        <v>0</v>
      </c>
      <c r="M7" s="31">
        <f>N7+O7+P7+Q7</f>
        <v>359.2</v>
      </c>
      <c r="N7" s="24">
        <v>0</v>
      </c>
      <c r="O7" s="24">
        <v>0</v>
      </c>
      <c r="P7" s="24">
        <f>ROUND(359242/1000,1)</f>
        <v>359.2</v>
      </c>
      <c r="Q7" s="24">
        <v>0</v>
      </c>
      <c r="R7" s="81" t="s">
        <v>66</v>
      </c>
      <c r="S7" s="1">
        <f>P7/K7*100</f>
        <v>99.944351697273234</v>
      </c>
      <c r="T7" s="1" t="e">
        <f t="shared" ref="T7" si="0">O7/J7*100</f>
        <v>#DIV/0!</v>
      </c>
      <c r="U7" s="1" t="e">
        <f>Q7/G7*100</f>
        <v>#DIV/0!</v>
      </c>
      <c r="AB7" s="27">
        <f>M7/H7*100</f>
        <v>99.944351697273234</v>
      </c>
    </row>
    <row r="8" spans="1:30" ht="104.25" x14ac:dyDescent="0.25">
      <c r="A8" s="34" t="s">
        <v>33</v>
      </c>
      <c r="B8" s="30" t="s">
        <v>26</v>
      </c>
      <c r="C8" s="31">
        <f>D8+E8+F8+G8</f>
        <v>974</v>
      </c>
      <c r="D8" s="24">
        <v>0</v>
      </c>
      <c r="E8" s="24">
        <v>0</v>
      </c>
      <c r="F8" s="24">
        <v>974</v>
      </c>
      <c r="G8" s="24">
        <v>0</v>
      </c>
      <c r="H8" s="31">
        <f>I8+J8+K8+L8</f>
        <v>974</v>
      </c>
      <c r="I8" s="24">
        <v>0</v>
      </c>
      <c r="J8" s="24">
        <v>0</v>
      </c>
      <c r="K8" s="24">
        <v>974</v>
      </c>
      <c r="L8" s="24">
        <v>0</v>
      </c>
      <c r="M8" s="31">
        <f t="shared" ref="M8:M12" si="1">N8+O8+P8+Q8</f>
        <v>941.7</v>
      </c>
      <c r="N8" s="24">
        <v>0</v>
      </c>
      <c r="O8" s="24">
        <v>0</v>
      </c>
      <c r="P8" s="24">
        <f>ROUND(941685/1000,1)</f>
        <v>941.7</v>
      </c>
      <c r="Q8" s="24">
        <v>0</v>
      </c>
      <c r="R8" s="79" t="s">
        <v>67</v>
      </c>
      <c r="S8" s="1">
        <f>P8/K8*100</f>
        <v>96.683778234086247</v>
      </c>
      <c r="T8" s="1" t="e">
        <f>O8/J8*100</f>
        <v>#DIV/0!</v>
      </c>
      <c r="U8" s="1" t="e">
        <f>Q8/G8*100</f>
        <v>#DIV/0!</v>
      </c>
      <c r="AB8" s="27">
        <f>M8/H8*100</f>
        <v>96.683778234086247</v>
      </c>
    </row>
    <row r="9" spans="1:30" ht="63.75" customHeight="1" x14ac:dyDescent="0.25">
      <c r="A9" s="34" t="s">
        <v>29</v>
      </c>
      <c r="B9" s="30" t="s">
        <v>28</v>
      </c>
      <c r="C9" s="31">
        <f t="shared" ref="C9" si="2">D9+E9+F9+G9</f>
        <v>1018.4</v>
      </c>
      <c r="D9" s="24">
        <v>0</v>
      </c>
      <c r="E9" s="24">
        <v>0</v>
      </c>
      <c r="F9" s="24">
        <v>1018.4</v>
      </c>
      <c r="G9" s="24">
        <v>0</v>
      </c>
      <c r="H9" s="31">
        <f>I9+K9+L9</f>
        <v>1018.4</v>
      </c>
      <c r="I9" s="24">
        <v>0</v>
      </c>
      <c r="J9" s="24">
        <v>0</v>
      </c>
      <c r="K9" s="24">
        <v>1018.4</v>
      </c>
      <c r="L9" s="24">
        <v>0</v>
      </c>
      <c r="M9" s="31">
        <f t="shared" si="1"/>
        <v>1018.4</v>
      </c>
      <c r="N9" s="24">
        <v>0</v>
      </c>
      <c r="O9" s="24">
        <v>0</v>
      </c>
      <c r="P9" s="24">
        <f>ROUND(1018428.9/1000,1)</f>
        <v>1018.4</v>
      </c>
      <c r="Q9" s="24">
        <v>0</v>
      </c>
      <c r="R9" s="81" t="s">
        <v>62</v>
      </c>
      <c r="S9" s="1" t="e">
        <f>P9/#REF!*100</f>
        <v>#REF!</v>
      </c>
      <c r="T9" s="1">
        <f>O9/K9*100</f>
        <v>0</v>
      </c>
      <c r="U9" s="1" t="e">
        <f t="shared" ref="U9:U12" si="3">Q9/G9*100</f>
        <v>#DIV/0!</v>
      </c>
      <c r="AB9" s="27">
        <f t="shared" ref="AB9:AB11" si="4">M9/H9*100</f>
        <v>100</v>
      </c>
    </row>
    <row r="10" spans="1:30" ht="148.5" x14ac:dyDescent="0.25">
      <c r="A10" s="34" t="s">
        <v>54</v>
      </c>
      <c r="B10" s="30" t="s">
        <v>31</v>
      </c>
      <c r="C10" s="31">
        <f>D10+E10+F10+G10</f>
        <v>74254.600000000006</v>
      </c>
      <c r="D10" s="24">
        <v>0</v>
      </c>
      <c r="E10" s="24">
        <v>0</v>
      </c>
      <c r="F10" s="24">
        <v>66254.600000000006</v>
      </c>
      <c r="G10" s="24">
        <v>8000</v>
      </c>
      <c r="H10" s="31">
        <f>I10+J10+K10+L10</f>
        <v>74254.600000000006</v>
      </c>
      <c r="I10" s="24">
        <v>0</v>
      </c>
      <c r="J10" s="24">
        <v>0</v>
      </c>
      <c r="K10" s="24">
        <v>66254.600000000006</v>
      </c>
      <c r="L10" s="24">
        <v>8000</v>
      </c>
      <c r="M10" s="31">
        <f>N10+O10+P10+Q10</f>
        <v>72265.2</v>
      </c>
      <c r="N10" s="24">
        <v>0</v>
      </c>
      <c r="O10" s="24">
        <v>0</v>
      </c>
      <c r="P10" s="24">
        <f>ROUND((27730013.82+468377.55+35451226.43+163342.68+956942.17+200000)/1000,1)+0.1</f>
        <v>64970</v>
      </c>
      <c r="Q10" s="90">
        <f>ROUND((891081.49+6404153.29)/1000,1)</f>
        <v>7295.2</v>
      </c>
      <c r="R10" s="79" t="s">
        <v>68</v>
      </c>
      <c r="S10" s="1">
        <f>P10/K10*100</f>
        <v>98.061115756490864</v>
      </c>
      <c r="T10" s="1" t="e">
        <f>O10/J10*100</f>
        <v>#DIV/0!</v>
      </c>
      <c r="U10" s="1">
        <f>Q10/G10*100</f>
        <v>91.19</v>
      </c>
      <c r="V10" s="1">
        <f>M10/C10</f>
        <v>0.97320839382341284</v>
      </c>
      <c r="W10" s="2"/>
      <c r="AB10" s="27">
        <f>M10/H10*100</f>
        <v>97.320839382341291</v>
      </c>
      <c r="AC10" s="25">
        <f>P10/K10*100</f>
        <v>98.061115756490864</v>
      </c>
      <c r="AD10" s="25">
        <f>Q10/L10*100</f>
        <v>91.19</v>
      </c>
    </row>
    <row r="11" spans="1:30" ht="60" x14ac:dyDescent="0.25">
      <c r="A11" s="50" t="s">
        <v>55</v>
      </c>
      <c r="B11" s="30" t="s">
        <v>32</v>
      </c>
      <c r="C11" s="31">
        <f>D11+E11+F11+G11</f>
        <v>7192.5</v>
      </c>
      <c r="D11" s="24">
        <v>0</v>
      </c>
      <c r="E11" s="24">
        <v>0</v>
      </c>
      <c r="F11" s="24">
        <v>7192.5</v>
      </c>
      <c r="G11" s="24">
        <v>0</v>
      </c>
      <c r="H11" s="31">
        <f>I11+J11+K11+L11</f>
        <v>7192.5</v>
      </c>
      <c r="I11" s="24">
        <v>0</v>
      </c>
      <c r="J11" s="24">
        <v>0</v>
      </c>
      <c r="K11" s="24">
        <v>7192.5</v>
      </c>
      <c r="L11" s="24">
        <v>0</v>
      </c>
      <c r="M11" s="31">
        <f>N11+O11+P11+Q11</f>
        <v>7180</v>
      </c>
      <c r="N11" s="24">
        <v>0</v>
      </c>
      <c r="O11" s="24">
        <v>0</v>
      </c>
      <c r="P11" s="24">
        <f>ROUND((2196410+284790+4698812.98)/1000,1)</f>
        <v>7180</v>
      </c>
      <c r="Q11" s="24">
        <v>0</v>
      </c>
      <c r="R11" s="80" t="s">
        <v>61</v>
      </c>
      <c r="S11" s="1">
        <f t="shared" ref="S11:S12" si="5">P11/K11*100</f>
        <v>99.826207855404931</v>
      </c>
      <c r="T11" s="1" t="e">
        <f>O11/J11*100</f>
        <v>#DIV/0!</v>
      </c>
      <c r="U11" s="1" t="e">
        <f t="shared" si="3"/>
        <v>#DIV/0!</v>
      </c>
      <c r="AB11" s="27">
        <f t="shared" si="4"/>
        <v>99.826207855404931</v>
      </c>
    </row>
    <row r="12" spans="1:30" ht="360" customHeight="1" x14ac:dyDescent="0.25">
      <c r="A12" s="50" t="s">
        <v>56</v>
      </c>
      <c r="B12" s="30" t="s">
        <v>47</v>
      </c>
      <c r="C12" s="31">
        <f t="shared" ref="C12" si="6">D12+E12+F12+G12</f>
        <v>301374</v>
      </c>
      <c r="D12" s="24">
        <v>0</v>
      </c>
      <c r="E12" s="24">
        <v>1013.1</v>
      </c>
      <c r="F12" s="24">
        <v>300360.90000000002</v>
      </c>
      <c r="G12" s="24">
        <v>0</v>
      </c>
      <c r="H12" s="31">
        <f>J12+K12+L12</f>
        <v>301374</v>
      </c>
      <c r="I12" s="24">
        <v>0</v>
      </c>
      <c r="J12" s="24">
        <v>1013.1</v>
      </c>
      <c r="K12" s="24">
        <v>300360.90000000002</v>
      </c>
      <c r="L12" s="24">
        <v>0</v>
      </c>
      <c r="M12" s="31">
        <f t="shared" si="1"/>
        <v>22210.199999999997</v>
      </c>
      <c r="N12" s="24">
        <v>0</v>
      </c>
      <c r="O12" s="24">
        <f>ROUND((863100+150000)/1000,1)</f>
        <v>1013.1</v>
      </c>
      <c r="P12" s="24">
        <f>ROUND((14953251.74+114424.2+92281.5+438731.04+2187910.14+2277104.41+423739+419000+245198+45500)/1000,1)</f>
        <v>21197.1</v>
      </c>
      <c r="Q12" s="24">
        <v>0</v>
      </c>
      <c r="R12" s="89" t="s">
        <v>77</v>
      </c>
      <c r="S12" s="1">
        <f t="shared" si="5"/>
        <v>7.0572101761580814</v>
      </c>
      <c r="T12" s="1">
        <f t="shared" ref="T12" si="7">O12/J12*100</f>
        <v>100</v>
      </c>
      <c r="U12" s="1" t="e">
        <f t="shared" si="3"/>
        <v>#DIV/0!</v>
      </c>
      <c r="AB12" s="27">
        <f>M12/H12*100</f>
        <v>7.3696470166636789</v>
      </c>
    </row>
    <row r="13" spans="1:30" ht="89.25" x14ac:dyDescent="0.25">
      <c r="A13" s="5"/>
      <c r="B13" s="32" t="s">
        <v>8</v>
      </c>
      <c r="C13" s="31">
        <f>SUM(C7:C12)</f>
        <v>385172.9</v>
      </c>
      <c r="D13" s="31">
        <f>SUM(D8:D12)</f>
        <v>0</v>
      </c>
      <c r="E13" s="31">
        <f>SUM(E8:E12)</f>
        <v>1013.1</v>
      </c>
      <c r="F13" s="31">
        <f>SUM(F7:F12)</f>
        <v>376159.80000000005</v>
      </c>
      <c r="G13" s="31">
        <f>SUM(G8:G12)</f>
        <v>8000</v>
      </c>
      <c r="H13" s="83">
        <f>J13+K13+L13</f>
        <v>385172.9</v>
      </c>
      <c r="I13" s="83">
        <f>SUM(I8:I12)</f>
        <v>0</v>
      </c>
      <c r="J13" s="83">
        <f t="shared" ref="J13:Q13" si="8">SUM(J5:J12)</f>
        <v>1013.1</v>
      </c>
      <c r="K13" s="83">
        <f t="shared" si="8"/>
        <v>376159.80000000005</v>
      </c>
      <c r="L13" s="83">
        <f t="shared" si="8"/>
        <v>8000</v>
      </c>
      <c r="M13" s="83">
        <f t="shared" si="8"/>
        <v>103974.7</v>
      </c>
      <c r="N13" s="83">
        <f t="shared" si="8"/>
        <v>0</v>
      </c>
      <c r="O13" s="31">
        <f t="shared" si="8"/>
        <v>1013.1</v>
      </c>
      <c r="P13" s="31">
        <f t="shared" si="8"/>
        <v>95666.4</v>
      </c>
      <c r="Q13" s="31">
        <f t="shared" si="8"/>
        <v>7295.2</v>
      </c>
      <c r="R13" s="77" t="s">
        <v>69</v>
      </c>
      <c r="S13" s="1">
        <f>P13/K13*100</f>
        <v>25.432382726702851</v>
      </c>
      <c r="T13" s="1">
        <f>O13/J13*100</f>
        <v>100</v>
      </c>
      <c r="U13" s="1">
        <f>Q13/G13*100</f>
        <v>91.19</v>
      </c>
      <c r="AA13" s="27">
        <f>M13/H13*100</f>
        <v>26.994292692969829</v>
      </c>
      <c r="AC13" s="27"/>
    </row>
    <row r="14" spans="1:30" ht="30" customHeight="1" x14ac:dyDescent="0.25">
      <c r="A14" s="21"/>
      <c r="B14" s="132" t="s">
        <v>46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4"/>
      <c r="R14" s="78"/>
      <c r="S14" s="14">
        <f>M13/H13*100</f>
        <v>26.994292692969829</v>
      </c>
      <c r="AC14" s="27"/>
    </row>
    <row r="15" spans="1:30" ht="30" customHeight="1" x14ac:dyDescent="0.25">
      <c r="A15" s="50" t="s">
        <v>24</v>
      </c>
      <c r="B15" s="30" t="s">
        <v>34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78"/>
      <c r="S15" s="14"/>
      <c r="AC15" s="27"/>
    </row>
    <row r="16" spans="1:30" ht="215.25" customHeight="1" x14ac:dyDescent="0.25">
      <c r="A16" s="50" t="s">
        <v>48</v>
      </c>
      <c r="B16" s="30" t="s">
        <v>23</v>
      </c>
      <c r="C16" s="31">
        <f>D16+E16+F16</f>
        <v>243.89999999999998</v>
      </c>
      <c r="D16" s="24">
        <v>104.3</v>
      </c>
      <c r="E16" s="24">
        <v>127.4</v>
      </c>
      <c r="F16" s="24">
        <v>12.2</v>
      </c>
      <c r="G16" s="24">
        <v>0</v>
      </c>
      <c r="H16" s="31">
        <f>I16+J16+K16+L16</f>
        <v>243.89999999999998</v>
      </c>
      <c r="I16" s="24">
        <v>104.3</v>
      </c>
      <c r="J16" s="24">
        <v>127.4</v>
      </c>
      <c r="K16" s="24">
        <v>12.2</v>
      </c>
      <c r="L16" s="24">
        <v>0</v>
      </c>
      <c r="M16" s="31">
        <f>N16+O16+P16+Q16</f>
        <v>243.89999999999998</v>
      </c>
      <c r="N16" s="24">
        <f>ROUND((104264.28)/1000,1)</f>
        <v>104.3</v>
      </c>
      <c r="O16" s="24">
        <f>ROUND((127435.72)/1000,1)</f>
        <v>127.4</v>
      </c>
      <c r="P16" s="24">
        <f>ROUND((12200)/1000,1)</f>
        <v>12.2</v>
      </c>
      <c r="Q16" s="24">
        <v>0</v>
      </c>
      <c r="R16" s="33" t="s">
        <v>75</v>
      </c>
      <c r="S16" s="1">
        <f t="shared" ref="S16:S22" si="9">P16/K16*100</f>
        <v>100</v>
      </c>
      <c r="T16" s="1">
        <f t="shared" ref="T16:T31" si="10">O16/J16*100</f>
        <v>100</v>
      </c>
      <c r="U16" s="1" t="e">
        <f>Q16/L16*100</f>
        <v>#DIV/0!</v>
      </c>
      <c r="AB16" s="27">
        <f t="shared" ref="AB16:AB17" si="11">M16/H16*100</f>
        <v>100</v>
      </c>
      <c r="AC16" s="1"/>
    </row>
    <row r="17" spans="1:29" ht="63" customHeight="1" x14ac:dyDescent="0.25">
      <c r="A17" s="63" t="s">
        <v>49</v>
      </c>
      <c r="B17" s="62" t="s">
        <v>50</v>
      </c>
      <c r="C17" s="31">
        <f>D17+E17+F17</f>
        <v>210.4</v>
      </c>
      <c r="D17" s="60">
        <v>0</v>
      </c>
      <c r="E17" s="60">
        <v>0</v>
      </c>
      <c r="F17" s="60">
        <v>210.4</v>
      </c>
      <c r="G17" s="60">
        <v>0</v>
      </c>
      <c r="H17" s="31">
        <f>K17+L17+J17</f>
        <v>210.4</v>
      </c>
      <c r="I17" s="72">
        <v>0</v>
      </c>
      <c r="J17" s="72">
        <v>0</v>
      </c>
      <c r="K17" s="72">
        <v>210.4</v>
      </c>
      <c r="L17" s="72">
        <v>0</v>
      </c>
      <c r="M17" s="31">
        <f>N17+O17+P17+Q17</f>
        <v>210.4</v>
      </c>
      <c r="N17" s="24">
        <v>0</v>
      </c>
      <c r="O17" s="24">
        <v>0</v>
      </c>
      <c r="P17" s="24">
        <f>ROUND((210399.99)/1000,1)</f>
        <v>210.4</v>
      </c>
      <c r="Q17" s="24">
        <v>0</v>
      </c>
      <c r="R17" s="74" t="s">
        <v>65</v>
      </c>
      <c r="AB17" s="27">
        <f t="shared" si="11"/>
        <v>100</v>
      </c>
      <c r="AC17" s="1"/>
    </row>
    <row r="18" spans="1:29" ht="187.5" customHeight="1" x14ac:dyDescent="0.25">
      <c r="A18" s="85" t="s">
        <v>25</v>
      </c>
      <c r="B18" s="86" t="s">
        <v>35</v>
      </c>
      <c r="C18" s="87">
        <f>F18+G18</f>
        <v>2914.6</v>
      </c>
      <c r="D18" s="88">
        <v>0</v>
      </c>
      <c r="E18" s="88">
        <v>0</v>
      </c>
      <c r="F18" s="88">
        <v>2914.6</v>
      </c>
      <c r="G18" s="88">
        <v>0</v>
      </c>
      <c r="H18" s="87">
        <f>I18+J18+K18+L18</f>
        <v>2914.6</v>
      </c>
      <c r="I18" s="88">
        <v>0</v>
      </c>
      <c r="J18" s="88">
        <v>0</v>
      </c>
      <c r="K18" s="88">
        <v>2914.6</v>
      </c>
      <c r="L18" s="88">
        <v>0</v>
      </c>
      <c r="M18" s="87">
        <f t="shared" ref="M18:M21" si="12">N18+O18+P18+Q18</f>
        <v>2900.2</v>
      </c>
      <c r="N18" s="88">
        <v>0</v>
      </c>
      <c r="O18" s="88">
        <v>0</v>
      </c>
      <c r="P18" s="88">
        <f>ROUND((1935470.4+964734.73)/1000,1)</f>
        <v>2900.2</v>
      </c>
      <c r="Q18" s="88">
        <v>0</v>
      </c>
      <c r="R18" s="84" t="s">
        <v>74</v>
      </c>
      <c r="S18" s="1">
        <v>0</v>
      </c>
      <c r="T18" s="1" t="e">
        <f t="shared" si="10"/>
        <v>#DIV/0!</v>
      </c>
      <c r="U18" s="1" t="e">
        <f>Q18/L18*100</f>
        <v>#DIV/0!</v>
      </c>
      <c r="AC18" s="1"/>
    </row>
    <row r="19" spans="1:29" ht="141" customHeight="1" x14ac:dyDescent="0.25">
      <c r="A19" s="63" t="s">
        <v>14</v>
      </c>
      <c r="B19" s="62" t="s">
        <v>36</v>
      </c>
      <c r="C19" s="31">
        <f>F19+G19+E19</f>
        <v>101989.9</v>
      </c>
      <c r="D19" s="24">
        <v>0</v>
      </c>
      <c r="E19" s="24">
        <v>0</v>
      </c>
      <c r="F19" s="24">
        <v>98989.9</v>
      </c>
      <c r="G19" s="24">
        <v>3000</v>
      </c>
      <c r="H19" s="31">
        <f>I19+J19+K19+L19</f>
        <v>101989.9</v>
      </c>
      <c r="I19" s="24">
        <v>0</v>
      </c>
      <c r="J19" s="24">
        <v>0</v>
      </c>
      <c r="K19" s="24">
        <v>98989.9</v>
      </c>
      <c r="L19" s="24">
        <v>3000</v>
      </c>
      <c r="M19" s="31">
        <f>N19+O19+P19+Q19</f>
        <v>102316.3</v>
      </c>
      <c r="N19" s="24">
        <v>0</v>
      </c>
      <c r="O19" s="24">
        <v>0</v>
      </c>
      <c r="P19" s="24">
        <f>ROUND((61426842.59+552025+2315068+33856675.73+300204.33+713)/1000,1)+0.1</f>
        <v>98451.6</v>
      </c>
      <c r="Q19" s="24">
        <f>ROUND((3236721.29+627922.85)/1000,1)+0.1</f>
        <v>3864.7</v>
      </c>
      <c r="R19" s="89" t="s">
        <v>70</v>
      </c>
      <c r="S19" s="1">
        <f>P19/K19*100</f>
        <v>99.456207148406065</v>
      </c>
      <c r="T19" s="1" t="e">
        <f>O19/J19*100</f>
        <v>#DIV/0!</v>
      </c>
      <c r="U19" s="1">
        <f>Q19/G19*100</f>
        <v>128.82333333333332</v>
      </c>
      <c r="W19" s="1">
        <f>M19/H19*100</f>
        <v>100.32003168941239</v>
      </c>
      <c r="AB19" s="27">
        <f>M19/H19*100</f>
        <v>100.32003168941239</v>
      </c>
      <c r="AC19" s="1"/>
    </row>
    <row r="20" spans="1:29" ht="66" customHeight="1" x14ac:dyDescent="0.25">
      <c r="A20" s="63" t="s">
        <v>15</v>
      </c>
      <c r="B20" s="62" t="s">
        <v>37</v>
      </c>
      <c r="C20" s="31">
        <f>F20+G20+E20</f>
        <v>11092.2</v>
      </c>
      <c r="D20" s="24">
        <v>0</v>
      </c>
      <c r="E20" s="24">
        <v>0</v>
      </c>
      <c r="F20" s="24">
        <v>11092.2</v>
      </c>
      <c r="G20" s="24">
        <v>0</v>
      </c>
      <c r="H20" s="31">
        <f>K20+L20+J20</f>
        <v>11092.2</v>
      </c>
      <c r="I20" s="24">
        <v>0</v>
      </c>
      <c r="J20" s="24">
        <v>0</v>
      </c>
      <c r="K20" s="24">
        <v>11092.2</v>
      </c>
      <c r="L20" s="24">
        <v>0</v>
      </c>
      <c r="M20" s="31">
        <f t="shared" si="12"/>
        <v>11089.4</v>
      </c>
      <c r="N20" s="24">
        <v>0</v>
      </c>
      <c r="O20" s="24">
        <v>0</v>
      </c>
      <c r="P20" s="24">
        <f>ROUND((4399418.5+1947041+3974230.16+768734.65)/1000,1)</f>
        <v>11089.4</v>
      </c>
      <c r="Q20" s="24">
        <v>0</v>
      </c>
      <c r="R20" s="80" t="s">
        <v>63</v>
      </c>
      <c r="S20" s="1">
        <f t="shared" si="9"/>
        <v>99.974757036476063</v>
      </c>
      <c r="T20" s="1" t="e">
        <f t="shared" si="10"/>
        <v>#DIV/0!</v>
      </c>
      <c r="U20" s="1" t="e">
        <f t="shared" ref="U20:U22" si="13">Q20/G20*100</f>
        <v>#DIV/0!</v>
      </c>
      <c r="Z20" s="2">
        <f>P19+O19</f>
        <v>98451.6</v>
      </c>
      <c r="AB20" s="27">
        <f>M20/H20*100</f>
        <v>99.974757036476063</v>
      </c>
      <c r="AC20" s="1"/>
    </row>
    <row r="21" spans="1:29" ht="263.25" customHeight="1" x14ac:dyDescent="0.25">
      <c r="A21" s="63" t="s">
        <v>17</v>
      </c>
      <c r="B21" s="62" t="s">
        <v>16</v>
      </c>
      <c r="C21" s="31">
        <f>F21+G21+E21</f>
        <v>5121.3</v>
      </c>
      <c r="D21" s="24">
        <v>0</v>
      </c>
      <c r="E21" s="24">
        <v>4865.2</v>
      </c>
      <c r="F21" s="24">
        <v>256.10000000000002</v>
      </c>
      <c r="G21" s="24">
        <v>0</v>
      </c>
      <c r="H21" s="31">
        <f>K21+L21+J21</f>
        <v>5121.3</v>
      </c>
      <c r="I21" s="24">
        <v>0</v>
      </c>
      <c r="J21" s="24">
        <v>4865.2</v>
      </c>
      <c r="K21" s="24">
        <v>256.10000000000002</v>
      </c>
      <c r="L21" s="24">
        <v>0</v>
      </c>
      <c r="M21" s="31">
        <f t="shared" si="12"/>
        <v>5116</v>
      </c>
      <c r="N21" s="24">
        <v>0</v>
      </c>
      <c r="O21" s="24">
        <f>ROUND((3405640+1454536.81)/1000,1)</f>
        <v>4860.2</v>
      </c>
      <c r="P21" s="24">
        <f>ROUND((179281.06+76554.49)/1000,1)</f>
        <v>255.8</v>
      </c>
      <c r="Q21" s="24">
        <v>0</v>
      </c>
      <c r="R21" s="89" t="s">
        <v>73</v>
      </c>
      <c r="S21" s="1">
        <f t="shared" si="9"/>
        <v>99.882858258492774</v>
      </c>
      <c r="T21" s="1">
        <f t="shared" si="10"/>
        <v>99.897229301981412</v>
      </c>
      <c r="U21" s="1" t="e">
        <f t="shared" si="13"/>
        <v>#DIV/0!</v>
      </c>
      <c r="Z21" s="2">
        <f>K19+J19+I19</f>
        <v>98989.9</v>
      </c>
      <c r="AB21" s="27">
        <f>M21/H21*100</f>
        <v>99.896510651592365</v>
      </c>
      <c r="AC21" s="1"/>
    </row>
    <row r="22" spans="1:29" ht="46.5" hidden="1" customHeight="1" x14ac:dyDescent="0.25">
      <c r="A22" s="50" t="s">
        <v>17</v>
      </c>
      <c r="B22" s="30" t="s">
        <v>18</v>
      </c>
      <c r="C22" s="31">
        <f t="shared" ref="C22:C23" si="14">F22+G22+E22</f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31">
        <v>0</v>
      </c>
      <c r="N22" s="24">
        <v>0</v>
      </c>
      <c r="O22" s="24">
        <v>0</v>
      </c>
      <c r="P22" s="24">
        <v>0</v>
      </c>
      <c r="Q22" s="24">
        <v>0</v>
      </c>
      <c r="R22" s="73"/>
      <c r="S22" s="1" t="e">
        <f t="shared" si="9"/>
        <v>#DIV/0!</v>
      </c>
      <c r="T22" s="1" t="e">
        <f t="shared" si="10"/>
        <v>#DIV/0!</v>
      </c>
      <c r="U22" s="1" t="e">
        <f t="shared" si="13"/>
        <v>#DIV/0!</v>
      </c>
      <c r="AB22" s="27" t="e">
        <f t="shared" ref="AB22" si="15">M22/H22*100</f>
        <v>#DIV/0!</v>
      </c>
      <c r="AC22" s="25" t="e">
        <f t="shared" ref="AC22" si="16">M22/C22*100</f>
        <v>#DIV/0!</v>
      </c>
    </row>
    <row r="23" spans="1:29" ht="184.5" customHeight="1" x14ac:dyDescent="0.25">
      <c r="A23" s="63" t="s">
        <v>51</v>
      </c>
      <c r="B23" s="62" t="s">
        <v>52</v>
      </c>
      <c r="C23" s="31">
        <f t="shared" si="14"/>
        <v>8862</v>
      </c>
      <c r="D23" s="24">
        <v>0</v>
      </c>
      <c r="E23" s="24">
        <v>250</v>
      </c>
      <c r="F23" s="24">
        <v>8612</v>
      </c>
      <c r="G23" s="24">
        <v>0</v>
      </c>
      <c r="H23" s="31">
        <f>K23+L23+J23</f>
        <v>8862</v>
      </c>
      <c r="I23" s="24">
        <v>0</v>
      </c>
      <c r="J23" s="24">
        <v>250</v>
      </c>
      <c r="K23" s="24">
        <v>8612</v>
      </c>
      <c r="L23" s="24">
        <v>0</v>
      </c>
      <c r="M23" s="31">
        <f t="shared" ref="M23" si="17">P23+Q23+O23</f>
        <v>8862</v>
      </c>
      <c r="N23" s="24">
        <v>0</v>
      </c>
      <c r="O23" s="24">
        <f>ROUND((250000)/1000,1)</f>
        <v>250</v>
      </c>
      <c r="P23" s="24">
        <f>ROUND((5614787.16+2000000+498600*2)/1000,1)</f>
        <v>8612</v>
      </c>
      <c r="Q23" s="24">
        <v>0</v>
      </c>
      <c r="R23" s="89" t="s">
        <v>76</v>
      </c>
      <c r="AB23" s="27">
        <f>M23/H23*100</f>
        <v>100</v>
      </c>
    </row>
    <row r="24" spans="1:29" ht="104.25" x14ac:dyDescent="0.25">
      <c r="A24" s="52"/>
      <c r="B24" s="47" t="s">
        <v>9</v>
      </c>
      <c r="C24" s="61">
        <f>D24+E24+F24+G24</f>
        <v>130434.29999999999</v>
      </c>
      <c r="D24" s="61">
        <f>SUM(D16:D23)</f>
        <v>104.3</v>
      </c>
      <c r="E24" s="61">
        <f>E16+E21+E23</f>
        <v>5242.5999999999995</v>
      </c>
      <c r="F24" s="61">
        <f>SUM(F16+F17+F18+F19+F20+F21+F23)</f>
        <v>122087.4</v>
      </c>
      <c r="G24" s="61">
        <f t="shared" ref="G24:Q24" si="18">SUM(G16:G23)</f>
        <v>3000</v>
      </c>
      <c r="H24" s="82">
        <f t="shared" si="18"/>
        <v>130434.29999999999</v>
      </c>
      <c r="I24" s="61">
        <f t="shared" si="18"/>
        <v>104.3</v>
      </c>
      <c r="J24" s="61">
        <f t="shared" si="18"/>
        <v>5242.5999999999995</v>
      </c>
      <c r="K24" s="61">
        <f t="shared" si="18"/>
        <v>122087.4</v>
      </c>
      <c r="L24" s="61">
        <f t="shared" si="18"/>
        <v>3000</v>
      </c>
      <c r="M24" s="82">
        <f t="shared" si="18"/>
        <v>130738.2</v>
      </c>
      <c r="N24" s="61">
        <f t="shared" si="18"/>
        <v>104.3</v>
      </c>
      <c r="O24" s="61">
        <f t="shared" si="18"/>
        <v>5237.5999999999995</v>
      </c>
      <c r="P24" s="61">
        <f t="shared" si="18"/>
        <v>121531.6</v>
      </c>
      <c r="Q24" s="61">
        <f t="shared" si="18"/>
        <v>3864.7</v>
      </c>
      <c r="R24" s="93" t="s">
        <v>71</v>
      </c>
      <c r="S24" s="10">
        <f>P24/K24*100</f>
        <v>99.544752365928019</v>
      </c>
      <c r="T24" s="1">
        <f t="shared" si="10"/>
        <v>99.904627474917035</v>
      </c>
      <c r="U24" s="1">
        <f>Q24/G24*100</f>
        <v>128.82333333333332</v>
      </c>
      <c r="V24" s="14">
        <f>M24/H24*100</f>
        <v>100.2329908620662</v>
      </c>
      <c r="AB24" s="27">
        <f>M24/H24*100</f>
        <v>100.2329908620662</v>
      </c>
    </row>
    <row r="25" spans="1:29" x14ac:dyDescent="0.25">
      <c r="A25" s="135" t="s">
        <v>38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7"/>
      <c r="R25" s="76"/>
      <c r="S25" s="10"/>
      <c r="V25" s="14"/>
    </row>
    <row r="26" spans="1:29" ht="90" x14ac:dyDescent="0.25">
      <c r="A26" s="63" t="s">
        <v>39</v>
      </c>
      <c r="B26" s="62" t="s">
        <v>58</v>
      </c>
      <c r="C26" s="61">
        <f>F26</f>
        <v>0</v>
      </c>
      <c r="D26" s="60">
        <v>0</v>
      </c>
      <c r="E26" s="60">
        <v>0</v>
      </c>
      <c r="F26" s="60">
        <v>0</v>
      </c>
      <c r="G26" s="60">
        <v>0</v>
      </c>
      <c r="H26" s="61">
        <f>I26+J26+K26+L26</f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75"/>
      <c r="S26" s="10"/>
      <c r="V26" s="14"/>
    </row>
    <row r="27" spans="1:29" x14ac:dyDescent="0.25">
      <c r="A27" s="53"/>
      <c r="B27" s="47" t="s">
        <v>43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"/>
      <c r="S27" s="10"/>
      <c r="V27" s="14"/>
    </row>
    <row r="28" spans="1:29" x14ac:dyDescent="0.25">
      <c r="A28" s="138" t="s">
        <v>40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40"/>
      <c r="R28" s="76"/>
      <c r="S28" s="10"/>
      <c r="V28" s="14"/>
    </row>
    <row r="29" spans="1:29" ht="75" x14ac:dyDescent="0.25">
      <c r="A29" s="63" t="s">
        <v>41</v>
      </c>
      <c r="B29" s="62" t="s">
        <v>42</v>
      </c>
      <c r="C29" s="61">
        <f>D29+E29+F29+G29</f>
        <v>0</v>
      </c>
      <c r="D29" s="60">
        <v>0</v>
      </c>
      <c r="E29" s="60">
        <v>0</v>
      </c>
      <c r="F29" s="60">
        <v>0</v>
      </c>
      <c r="G29" s="60">
        <v>0</v>
      </c>
      <c r="H29" s="61">
        <f>I29+J29+K29+L29</f>
        <v>0</v>
      </c>
      <c r="I29" s="60">
        <v>0</v>
      </c>
      <c r="J29" s="60">
        <v>0</v>
      </c>
      <c r="K29" s="60">
        <v>0</v>
      </c>
      <c r="L29" s="60">
        <v>0</v>
      </c>
      <c r="M29" s="60">
        <f t="shared" ref="M29:M30" si="19">P29+Q29+O29</f>
        <v>0</v>
      </c>
      <c r="N29" s="60">
        <v>0</v>
      </c>
      <c r="O29" s="60">
        <v>0</v>
      </c>
      <c r="P29" s="60">
        <v>0</v>
      </c>
      <c r="Q29" s="60">
        <v>0</v>
      </c>
      <c r="R29" s="76"/>
      <c r="S29" s="10"/>
      <c r="V29" s="14"/>
      <c r="AB29" s="27" t="e">
        <f>M29/H29*100</f>
        <v>#DIV/0!</v>
      </c>
    </row>
    <row r="30" spans="1:29" x14ac:dyDescent="0.25">
      <c r="A30" s="63"/>
      <c r="B30" s="47" t="s">
        <v>44</v>
      </c>
      <c r="C30" s="61">
        <f>D30+E30+F30+G30</f>
        <v>0</v>
      </c>
      <c r="D30" s="60">
        <v>0</v>
      </c>
      <c r="E30" s="60">
        <v>0</v>
      </c>
      <c r="F30" s="60">
        <v>0</v>
      </c>
      <c r="G30" s="60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24">
        <f t="shared" si="19"/>
        <v>0</v>
      </c>
      <c r="N30" s="61">
        <v>0</v>
      </c>
      <c r="O30" s="61">
        <v>0</v>
      </c>
      <c r="P30" s="61">
        <f>P29</f>
        <v>0</v>
      </c>
      <c r="Q30" s="61">
        <f>Q29</f>
        <v>0</v>
      </c>
      <c r="R30" s="76"/>
      <c r="S30" s="10"/>
      <c r="V30" s="14"/>
    </row>
    <row r="31" spans="1:29" ht="104.25" x14ac:dyDescent="0.25">
      <c r="A31" s="5"/>
      <c r="B31" s="32" t="s">
        <v>10</v>
      </c>
      <c r="C31" s="31">
        <f>D31+E31+F31+G31</f>
        <v>515607.20000000007</v>
      </c>
      <c r="D31" s="31">
        <f>D24+D13</f>
        <v>104.3</v>
      </c>
      <c r="E31" s="31">
        <f>E24+E13</f>
        <v>6255.7</v>
      </c>
      <c r="F31" s="31">
        <f>F24+F13+F26+F29</f>
        <v>498247.20000000007</v>
      </c>
      <c r="G31" s="31">
        <f>G24+G13+G29</f>
        <v>11000</v>
      </c>
      <c r="H31" s="83">
        <f>I31+J31+K31+L31</f>
        <v>515607.20000000007</v>
      </c>
      <c r="I31" s="31">
        <f>I24+I13</f>
        <v>104.3</v>
      </c>
      <c r="J31" s="31">
        <f>J24+J13</f>
        <v>6255.7</v>
      </c>
      <c r="K31" s="31">
        <f>K24++K13+K26+K29</f>
        <v>498247.20000000007</v>
      </c>
      <c r="L31" s="31">
        <f>L24+L13+L29</f>
        <v>11000</v>
      </c>
      <c r="M31" s="83">
        <f>N31+O31+P31+Q31</f>
        <v>234712.9</v>
      </c>
      <c r="N31" s="31">
        <f>N24+N13</f>
        <v>104.3</v>
      </c>
      <c r="O31" s="31">
        <f>O24+O13</f>
        <v>6250.7</v>
      </c>
      <c r="P31" s="31">
        <f>P24+P13+P30</f>
        <v>217198</v>
      </c>
      <c r="Q31" s="31">
        <f>Q24+Q13</f>
        <v>11159.9</v>
      </c>
      <c r="R31" s="93" t="s">
        <v>72</v>
      </c>
      <c r="S31" s="15">
        <f>P31/K31*100</f>
        <v>43.592417579065163</v>
      </c>
      <c r="T31" s="16">
        <f t="shared" si="10"/>
        <v>99.920072893521109</v>
      </c>
      <c r="U31" s="17">
        <f>Q31/G31*100</f>
        <v>101.45363636363636</v>
      </c>
      <c r="AA31" s="27">
        <f>M31/H31*100</f>
        <v>45.521649038260122</v>
      </c>
    </row>
    <row r="32" spans="1:29" ht="15.75" x14ac:dyDescent="0.25">
      <c r="A32" s="6"/>
      <c r="B32" s="6"/>
      <c r="C32" s="38"/>
      <c r="D32" s="7"/>
      <c r="E32" s="7"/>
      <c r="F32" s="7"/>
      <c r="G32" s="7"/>
      <c r="H32" s="38"/>
      <c r="I32" s="56">
        <v>53.8</v>
      </c>
      <c r="J32" s="56"/>
      <c r="K32" s="56">
        <v>529706</v>
      </c>
      <c r="L32" s="7"/>
      <c r="M32" s="57">
        <v>212181.8</v>
      </c>
      <c r="N32" s="56">
        <v>170</v>
      </c>
      <c r="O32" s="56"/>
      <c r="P32" s="57">
        <v>212181.8</v>
      </c>
      <c r="Q32" s="56"/>
      <c r="R32" s="11"/>
    </row>
    <row r="33" spans="1:30" ht="15.75" x14ac:dyDescent="0.25">
      <c r="A33" s="6"/>
      <c r="B33" s="6"/>
      <c r="C33" s="38"/>
      <c r="D33" s="7"/>
      <c r="E33" s="7"/>
      <c r="F33" s="7"/>
      <c r="G33" s="7"/>
      <c r="H33" s="38"/>
      <c r="I33" s="56">
        <f>I31+J31+K31</f>
        <v>504607.20000000007</v>
      </c>
      <c r="J33" s="56"/>
      <c r="K33" s="56"/>
      <c r="L33" s="7"/>
      <c r="M33" s="57"/>
      <c r="N33" s="56"/>
      <c r="O33" s="56">
        <f>N31+O31+P31</f>
        <v>223553</v>
      </c>
      <c r="P33" s="56"/>
      <c r="Q33" s="56"/>
      <c r="R33" s="9"/>
      <c r="S33" s="18">
        <f>M31/H31*100</f>
        <v>45.521649038260122</v>
      </c>
      <c r="Z33" s="1">
        <f>Z20/Z21*100</f>
        <v>99.456207148406065</v>
      </c>
      <c r="AC33" s="28"/>
      <c r="AD33" s="29"/>
    </row>
    <row r="34" spans="1:30" ht="49.5" customHeight="1" x14ac:dyDescent="0.25">
      <c r="A34" s="126" t="s">
        <v>59</v>
      </c>
      <c r="B34" s="126"/>
      <c r="C34" s="115" t="s">
        <v>60</v>
      </c>
      <c r="D34" s="115"/>
      <c r="E34" s="115"/>
      <c r="F34" s="65"/>
      <c r="G34" s="66"/>
      <c r="H34" s="66"/>
      <c r="I34" s="67"/>
      <c r="J34" s="68"/>
      <c r="K34" s="69"/>
      <c r="L34" s="70"/>
      <c r="M34" s="64"/>
      <c r="N34" s="58"/>
      <c r="O34" s="56"/>
      <c r="P34" s="56">
        <f>O33/I33*100</f>
        <v>44.302380148360939</v>
      </c>
      <c r="Q34" s="58"/>
      <c r="R34" s="54"/>
      <c r="T34" s="2"/>
      <c r="AC34" s="29"/>
      <c r="AD34" s="29"/>
    </row>
    <row r="35" spans="1:30" ht="15.75" x14ac:dyDescent="0.25">
      <c r="A35" s="8"/>
      <c r="B35" s="8"/>
      <c r="C35" s="115"/>
      <c r="D35" s="115"/>
      <c r="E35" s="71"/>
      <c r="F35" s="71"/>
      <c r="G35" s="115"/>
      <c r="H35" s="115"/>
      <c r="I35" s="66"/>
      <c r="J35" s="66"/>
      <c r="K35" s="66"/>
      <c r="L35" s="66"/>
      <c r="M35" s="59"/>
      <c r="N35" s="58"/>
      <c r="O35" s="56"/>
      <c r="P35" s="56" t="s">
        <v>22</v>
      </c>
      <c r="Q35" s="58"/>
      <c r="R35" s="11"/>
      <c r="T35" s="2"/>
    </row>
    <row r="36" spans="1:30" x14ac:dyDescent="0.25">
      <c r="J36" s="41"/>
      <c r="K36" s="41"/>
      <c r="M36" s="41"/>
      <c r="N36" s="9"/>
      <c r="O36" s="9"/>
      <c r="P36" s="48"/>
      <c r="Q36" s="9"/>
      <c r="R36" s="55"/>
    </row>
    <row r="37" spans="1:30" x14ac:dyDescent="0.25">
      <c r="M37" s="22"/>
      <c r="N37" s="23"/>
      <c r="O37" s="23"/>
      <c r="P37" s="1" t="s">
        <v>22</v>
      </c>
    </row>
    <row r="38" spans="1:30" x14ac:dyDescent="0.25">
      <c r="M38" s="42"/>
      <c r="N38" s="23"/>
      <c r="O38" s="23"/>
      <c r="P38" s="2"/>
    </row>
    <row r="39" spans="1:30" x14ac:dyDescent="0.25">
      <c r="E39" s="48"/>
      <c r="I39" s="41"/>
      <c r="J39" s="41"/>
      <c r="K39" s="41"/>
      <c r="L39" s="41"/>
      <c r="N39" s="35"/>
      <c r="O39" s="35"/>
    </row>
    <row r="40" spans="1:30" x14ac:dyDescent="0.25">
      <c r="H40" s="22"/>
      <c r="I40" s="22"/>
      <c r="J40" s="22"/>
      <c r="K40" s="22"/>
      <c r="L40" s="22"/>
      <c r="M40" s="36"/>
      <c r="N40" s="22"/>
      <c r="O40" s="22"/>
      <c r="P40" s="23"/>
    </row>
    <row r="41" spans="1:30" x14ac:dyDescent="0.25">
      <c r="H41" s="43">
        <f>H31-338450</f>
        <v>177157.20000000007</v>
      </c>
      <c r="I41" s="22"/>
      <c r="J41" s="22"/>
      <c r="K41" s="22"/>
      <c r="L41" s="22"/>
      <c r="M41" s="43">
        <f>M31-65381.1</f>
        <v>169331.8</v>
      </c>
      <c r="N41" s="22"/>
      <c r="O41" s="22"/>
      <c r="P41" s="23"/>
    </row>
    <row r="42" spans="1:30" x14ac:dyDescent="0.25">
      <c r="H42" s="22"/>
      <c r="I42" s="22"/>
      <c r="J42" s="22"/>
      <c r="K42" s="22"/>
      <c r="L42" s="22"/>
      <c r="M42" s="22"/>
      <c r="N42" s="22"/>
      <c r="O42" s="22"/>
      <c r="P42" s="23"/>
    </row>
    <row r="43" spans="1:30" ht="18.75" x14ac:dyDescent="0.3">
      <c r="H43" s="44"/>
      <c r="I43" s="44"/>
      <c r="J43" s="44"/>
      <c r="K43" s="44"/>
      <c r="L43" s="44"/>
      <c r="M43" s="44"/>
      <c r="N43" s="44"/>
      <c r="O43" s="44"/>
      <c r="P43" s="44"/>
      <c r="Q43" s="45"/>
      <c r="R43" s="37"/>
      <c r="S43" s="23"/>
      <c r="T43" s="23"/>
      <c r="U43" s="23"/>
      <c r="V43" s="23"/>
      <c r="W43" s="23"/>
      <c r="X43" s="23"/>
      <c r="Y43" s="23"/>
      <c r="Z43" s="23"/>
      <c r="AA43" s="92"/>
    </row>
    <row r="44" spans="1:30" x14ac:dyDescent="0.25">
      <c r="H44" s="22"/>
      <c r="I44" s="36"/>
      <c r="J44" s="22"/>
      <c r="K44" s="22"/>
      <c r="L44" s="22"/>
      <c r="M44" s="22">
        <f>M41/H41*100</f>
        <v>95.582793135136441</v>
      </c>
      <c r="N44" s="22" t="s">
        <v>57</v>
      </c>
      <c r="O44" s="22"/>
      <c r="P44" s="23"/>
      <c r="Q44" s="23"/>
      <c r="R44" s="37"/>
      <c r="S44" s="23"/>
      <c r="T44" s="23"/>
      <c r="U44" s="23"/>
      <c r="V44" s="23"/>
      <c r="W44" s="23"/>
      <c r="X44" s="23"/>
      <c r="Y44" s="23"/>
      <c r="Z44" s="23"/>
      <c r="AA44" s="92"/>
    </row>
    <row r="45" spans="1:30" x14ac:dyDescent="0.25">
      <c r="H45" s="22"/>
      <c r="I45" s="22"/>
      <c r="J45" s="43"/>
      <c r="K45" s="22"/>
      <c r="L45" s="22"/>
      <c r="M45" s="22"/>
      <c r="N45" s="22"/>
      <c r="O45" s="43"/>
      <c r="P45" s="43"/>
      <c r="Q45" s="23"/>
      <c r="R45" s="37"/>
      <c r="S45" s="23"/>
      <c r="T45" s="23"/>
      <c r="U45" s="23"/>
      <c r="V45" s="23"/>
      <c r="W45" s="23"/>
      <c r="X45" s="23"/>
      <c r="Y45" s="23"/>
      <c r="Z45" s="23"/>
      <c r="AA45" s="92"/>
    </row>
    <row r="46" spans="1:30" x14ac:dyDescent="0.25">
      <c r="H46" s="22"/>
      <c r="I46" s="22"/>
      <c r="J46" s="22"/>
      <c r="K46" s="22"/>
      <c r="L46" s="22"/>
      <c r="M46" s="22"/>
      <c r="N46" s="22"/>
      <c r="O46" s="22"/>
      <c r="P46" s="49"/>
    </row>
    <row r="47" spans="1:30" x14ac:dyDescent="0.25">
      <c r="H47" s="22"/>
      <c r="I47" s="22"/>
      <c r="J47" s="22"/>
      <c r="K47" s="22"/>
      <c r="L47" s="22"/>
      <c r="M47" s="22"/>
      <c r="N47" s="22"/>
      <c r="O47" s="22"/>
      <c r="P47" s="23"/>
    </row>
    <row r="48" spans="1:30" x14ac:dyDescent="0.25">
      <c r="H48" s="22"/>
      <c r="I48" s="23"/>
      <c r="J48" s="23"/>
      <c r="K48" s="23"/>
      <c r="L48" s="23"/>
      <c r="M48" s="22"/>
      <c r="N48" s="23"/>
      <c r="O48" s="23"/>
      <c r="P48" s="23"/>
    </row>
  </sheetData>
  <mergeCells count="15">
    <mergeCell ref="A34:B34"/>
    <mergeCell ref="C35:D35"/>
    <mergeCell ref="G35:H35"/>
    <mergeCell ref="A1:R1"/>
    <mergeCell ref="A2:A3"/>
    <mergeCell ref="B2:B3"/>
    <mergeCell ref="C2:G2"/>
    <mergeCell ref="H2:L2"/>
    <mergeCell ref="M2:Q2"/>
    <mergeCell ref="R2:R3"/>
    <mergeCell ref="B5:Q5"/>
    <mergeCell ref="B14:Q14"/>
    <mergeCell ref="A25:Q25"/>
    <mergeCell ref="A28:Q28"/>
    <mergeCell ref="C34:E3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31.03.2024</vt:lpstr>
      <vt:lpstr>31.12.2023</vt:lpstr>
      <vt:lpstr>'31.03.2024'!Область_печати</vt:lpstr>
      <vt:lpstr>'31.12.2023'!Область_печати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Алёна Мусина</cp:lastModifiedBy>
  <cp:lastPrinted>2024-04-16T10:25:43Z</cp:lastPrinted>
  <dcterms:created xsi:type="dcterms:W3CDTF">2016-03-25T07:00:12Z</dcterms:created>
  <dcterms:modified xsi:type="dcterms:W3CDTF">2024-04-19T07:11:53Z</dcterms:modified>
</cp:coreProperties>
</file>